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 firstSheet="3" activeTab="3"/>
  </bookViews>
  <sheets>
    <sheet name="Feuil1" sheetId="1" state="hidden" r:id="rId1"/>
    <sheet name="Feuil2" sheetId="2" state="hidden" r:id="rId2"/>
    <sheet name="Feuil4" sheetId="12" state="hidden" r:id="rId3"/>
    <sheet name="T2" sheetId="3" r:id="rId4"/>
    <sheet name="%" sheetId="4" state="hidden" r:id="rId5"/>
    <sheet name="Feuil5" sheetId="5" state="hidden" r:id="rId6"/>
    <sheet name="l'Aïd  2018 et 2019- régions" sheetId="6" state="hidden" r:id="rId7"/>
    <sheet name="l'Aïd  2018 et 2019-wilayas" sheetId="7" state="hidden" r:id="rId8"/>
    <sheet name="2017-2018-2019" sheetId="8" state="hidden" r:id="rId9"/>
    <sheet name="2018-2019" sheetId="9" state="hidden" r:id="rId10"/>
    <sheet name="T4" sheetId="10" state="hidden" r:id="rId11"/>
    <sheet name="Feuil3" sheetId="11" state="hidden" r:id="rId12"/>
  </sheets>
  <externalReferences>
    <externalReference r:id="rId13"/>
  </externalReferences>
  <definedNames>
    <definedName name="_xlnm._FilterDatabase" localSheetId="0" hidden="1">Feuil1!$B$9:$E$57</definedName>
    <definedName name="_xlnm._FilterDatabase" localSheetId="5" hidden="1">Feuil5!$B$9:$I$57</definedName>
    <definedName name="_xlnm._FilterDatabase" localSheetId="7" hidden="1">'l''Aïd  2018 et 2019-wilayas'!$B$10:$E$58</definedName>
    <definedName name="_xlnm.Print_Titles" localSheetId="0">Feuil1!$8:$9</definedName>
    <definedName name="_xlnm.Print_Titles" localSheetId="1">Feuil2!$8:$9</definedName>
    <definedName name="_xlnm.Print_Titles" localSheetId="2">Feuil4!$7:$7</definedName>
    <definedName name="_xlnm.Print_Titles" localSheetId="5">Feuil5!$8:$9</definedName>
    <definedName name="_xlnm.Print_Titles" localSheetId="6">'l''Aïd  2018 et 2019- régions'!$9:$10</definedName>
    <definedName name="_xlnm.Print_Titles" localSheetId="7">'l''Aïd  2018 et 2019-wilayas'!$9:$10</definedName>
  </definedNames>
  <calcPr calcId="124519"/>
</workbook>
</file>

<file path=xl/calcChain.xml><?xml version="1.0" encoding="utf-8"?>
<calcChain xmlns="http://schemas.openxmlformats.org/spreadsheetml/2006/main">
  <c r="L16" i="3"/>
  <c r="D16"/>
  <c r="E16"/>
  <c r="F16"/>
  <c r="G16"/>
  <c r="H16"/>
  <c r="I16"/>
  <c r="G62" i="12"/>
  <c r="G60"/>
  <c r="G59"/>
  <c r="G58"/>
  <c r="F62"/>
  <c r="F59"/>
  <c r="F58"/>
  <c r="E62"/>
  <c r="E60"/>
  <c r="E59"/>
  <c r="E58"/>
  <c r="D63"/>
  <c r="D60"/>
  <c r="D58"/>
  <c r="L12" i="3"/>
  <c r="D12"/>
  <c r="E12"/>
  <c r="F12"/>
  <c r="G12"/>
  <c r="H12"/>
  <c r="I12"/>
  <c r="J12" s="1"/>
  <c r="D49" i="12"/>
  <c r="D51" s="1"/>
  <c r="C12" i="3" s="1"/>
  <c r="L32" i="12"/>
  <c r="L38" s="1"/>
  <c r="L14" i="3" s="1"/>
  <c r="G32" i="12"/>
  <c r="G38" s="1"/>
  <c r="F14" i="3" s="1"/>
  <c r="F32" i="12"/>
  <c r="F38" s="1"/>
  <c r="E32"/>
  <c r="E38" s="1"/>
  <c r="D14" i="3" s="1"/>
  <c r="D32" i="12"/>
  <c r="D38" s="1"/>
  <c r="C14" i="3" s="1"/>
  <c r="C9"/>
  <c r="D18" i="12"/>
  <c r="G14" i="3"/>
  <c r="J38" i="12"/>
  <c r="I14" i="3" s="1"/>
  <c r="I38" i="12"/>
  <c r="H14" i="3" s="1"/>
  <c r="H38" i="12"/>
  <c r="L8" i="3"/>
  <c r="F8"/>
  <c r="G8"/>
  <c r="C8"/>
  <c r="L15"/>
  <c r="F15"/>
  <c r="G11"/>
  <c r="D57" i="12"/>
  <c r="C15" i="3" s="1"/>
  <c r="L64" i="12"/>
  <c r="J64"/>
  <c r="I64"/>
  <c r="H64"/>
  <c r="K62"/>
  <c r="K61"/>
  <c r="K60"/>
  <c r="K59"/>
  <c r="K58"/>
  <c r="L57"/>
  <c r="J57"/>
  <c r="I15" i="3" s="1"/>
  <c r="I57" i="12"/>
  <c r="H15" i="3" s="1"/>
  <c r="H57" i="12"/>
  <c r="G15" i="3" s="1"/>
  <c r="G57" i="12"/>
  <c r="F57"/>
  <c r="E15" i="3" s="1"/>
  <c r="E57" i="12"/>
  <c r="D15" i="3" s="1"/>
  <c r="K56" i="12"/>
  <c r="K55"/>
  <c r="K54"/>
  <c r="K53"/>
  <c r="K52"/>
  <c r="L51"/>
  <c r="J51"/>
  <c r="I51"/>
  <c r="H51"/>
  <c r="G51"/>
  <c r="F51"/>
  <c r="E51"/>
  <c r="K50"/>
  <c r="K49"/>
  <c r="K48"/>
  <c r="K47"/>
  <c r="K46"/>
  <c r="L45"/>
  <c r="L13" i="3" s="1"/>
  <c r="J45" i="12"/>
  <c r="I13" i="3" s="1"/>
  <c r="I45" i="12"/>
  <c r="H13" i="3" s="1"/>
  <c r="H45" i="12"/>
  <c r="G13" i="3" s="1"/>
  <c r="G45" i="12"/>
  <c r="F13" i="3" s="1"/>
  <c r="F45" i="12"/>
  <c r="E13" i="3" s="1"/>
  <c r="E45" i="12"/>
  <c r="D13" i="3" s="1"/>
  <c r="D45" i="12"/>
  <c r="C13" i="3" s="1"/>
  <c r="K44" i="12"/>
  <c r="K43"/>
  <c r="K42"/>
  <c r="K41"/>
  <c r="K40"/>
  <c r="K39"/>
  <c r="K37"/>
  <c r="K36"/>
  <c r="K35"/>
  <c r="K34"/>
  <c r="K33"/>
  <c r="K32"/>
  <c r="L31"/>
  <c r="L10" i="3" s="1"/>
  <c r="J31" i="12"/>
  <c r="I10" i="3" s="1"/>
  <c r="J10" s="1"/>
  <c r="I31" i="12"/>
  <c r="H10" i="3" s="1"/>
  <c r="H31" i="12"/>
  <c r="G10" i="3" s="1"/>
  <c r="G31" i="12"/>
  <c r="F10" i="3" s="1"/>
  <c r="F31" i="12"/>
  <c r="E10" i="3" s="1"/>
  <c r="E31" i="12"/>
  <c r="D10" i="3" s="1"/>
  <c r="D31" i="12"/>
  <c r="C10" i="3" s="1"/>
  <c r="K30" i="12"/>
  <c r="K29"/>
  <c r="K28"/>
  <c r="K27"/>
  <c r="K26"/>
  <c r="L25"/>
  <c r="L11" i="3" s="1"/>
  <c r="J25" i="12"/>
  <c r="I11" i="3" s="1"/>
  <c r="J11" s="1"/>
  <c r="I25" i="12"/>
  <c r="H11" i="3" s="1"/>
  <c r="H25" i="12"/>
  <c r="G25"/>
  <c r="F11" i="3" s="1"/>
  <c r="F25" i="12"/>
  <c r="E11" i="3" s="1"/>
  <c r="E25" i="12"/>
  <c r="D11" i="3" s="1"/>
  <c r="D25" i="12"/>
  <c r="C11" i="3" s="1"/>
  <c r="K24" i="12"/>
  <c r="K23"/>
  <c r="K22"/>
  <c r="K21"/>
  <c r="K20"/>
  <c r="K19"/>
  <c r="L18"/>
  <c r="L9" i="3" s="1"/>
  <c r="J18" i="12"/>
  <c r="I9" i="3" s="1"/>
  <c r="I18" i="12"/>
  <c r="H9" i="3" s="1"/>
  <c r="H18" i="12"/>
  <c r="G9" i="3" s="1"/>
  <c r="G18" i="12"/>
  <c r="F9" i="3" s="1"/>
  <c r="F18" i="12"/>
  <c r="E9" i="3" s="1"/>
  <c r="E18" i="12"/>
  <c r="D9" i="3" s="1"/>
  <c r="K17" i="12"/>
  <c r="K16"/>
  <c r="K15"/>
  <c r="K14"/>
  <c r="K13"/>
  <c r="K12"/>
  <c r="L11"/>
  <c r="J11"/>
  <c r="I8" i="3" s="1"/>
  <c r="J8" s="1"/>
  <c r="I11" i="12"/>
  <c r="H8" i="3" s="1"/>
  <c r="H11" i="12"/>
  <c r="G11"/>
  <c r="F11"/>
  <c r="E8" i="3" s="1"/>
  <c r="E11" i="12"/>
  <c r="D8" i="3" s="1"/>
  <c r="D11" i="12"/>
  <c r="K10"/>
  <c r="K9"/>
  <c r="K8"/>
  <c r="L6" i="11"/>
  <c r="L7"/>
  <c r="L8"/>
  <c r="L9"/>
  <c r="L10"/>
  <c r="L11"/>
  <c r="L5"/>
  <c r="J10"/>
  <c r="J9"/>
  <c r="J7"/>
  <c r="J6"/>
  <c r="J5"/>
  <c r="C11"/>
  <c r="D11"/>
  <c r="E11"/>
  <c r="F11"/>
  <c r="G11"/>
  <c r="H11"/>
  <c r="I11"/>
  <c r="B11"/>
  <c r="J16" i="3"/>
  <c r="G15" i="9"/>
  <c r="F15"/>
  <c r="E15"/>
  <c r="D15"/>
  <c r="C15"/>
  <c r="B15"/>
  <c r="G14"/>
  <c r="F14"/>
  <c r="E14"/>
  <c r="D14"/>
  <c r="C14"/>
  <c r="B14"/>
  <c r="G13"/>
  <c r="F13"/>
  <c r="E13"/>
  <c r="D13"/>
  <c r="C13"/>
  <c r="B13"/>
  <c r="G10"/>
  <c r="F10"/>
  <c r="E10"/>
  <c r="D10"/>
  <c r="C10"/>
  <c r="B10"/>
  <c r="G16" i="8"/>
  <c r="F16"/>
  <c r="E16"/>
  <c r="D16"/>
  <c r="C16"/>
  <c r="B16"/>
  <c r="G15"/>
  <c r="F15"/>
  <c r="E15"/>
  <c r="D15"/>
  <c r="C15"/>
  <c r="B15"/>
  <c r="G14"/>
  <c r="F14"/>
  <c r="E14"/>
  <c r="D14"/>
  <c r="C14"/>
  <c r="B14"/>
  <c r="I13"/>
  <c r="I12"/>
  <c r="G11"/>
  <c r="F11"/>
  <c r="E11"/>
  <c r="D11"/>
  <c r="C11"/>
  <c r="B11"/>
  <c r="I10"/>
  <c r="I9"/>
  <c r="E11" i="7"/>
  <c r="D59"/>
  <c r="E19"/>
  <c r="E35"/>
  <c r="E15"/>
  <c r="E17"/>
  <c r="E14"/>
  <c r="E50"/>
  <c r="E20"/>
  <c r="E34"/>
  <c r="E23"/>
  <c r="E13"/>
  <c r="E22"/>
  <c r="E58"/>
  <c r="E42"/>
  <c r="E54"/>
  <c r="E53"/>
  <c r="E52"/>
  <c r="E18"/>
  <c r="E25"/>
  <c r="E40"/>
  <c r="E37"/>
  <c r="E28"/>
  <c r="E12"/>
  <c r="E16"/>
  <c r="E31"/>
  <c r="E41"/>
  <c r="E39"/>
  <c r="E45"/>
  <c r="E43"/>
  <c r="E33"/>
  <c r="E26"/>
  <c r="E30"/>
  <c r="E24"/>
  <c r="E27"/>
  <c r="E29"/>
  <c r="E21"/>
  <c r="E47"/>
  <c r="E55"/>
  <c r="E57"/>
  <c r="E44"/>
  <c r="E49"/>
  <c r="E48"/>
  <c r="E56"/>
  <c r="E36"/>
  <c r="E51"/>
  <c r="E46"/>
  <c r="E32"/>
  <c r="E38"/>
  <c r="D61" i="6"/>
  <c r="D67"/>
  <c r="D17"/>
  <c r="D24"/>
  <c r="D28"/>
  <c r="D41"/>
  <c r="D48"/>
  <c r="D34"/>
  <c r="E61"/>
  <c r="E54"/>
  <c r="E67"/>
  <c r="F66"/>
  <c r="F65"/>
  <c r="F64"/>
  <c r="F63"/>
  <c r="F62"/>
  <c r="F60"/>
  <c r="F59"/>
  <c r="F58"/>
  <c r="F57"/>
  <c r="F56"/>
  <c r="F55"/>
  <c r="F53"/>
  <c r="F52"/>
  <c r="F51"/>
  <c r="F50"/>
  <c r="F49"/>
  <c r="E48"/>
  <c r="F47"/>
  <c r="F46"/>
  <c r="F45"/>
  <c r="F44"/>
  <c r="F43"/>
  <c r="F42"/>
  <c r="E41"/>
  <c r="F40"/>
  <c r="F39"/>
  <c r="F38"/>
  <c r="F37"/>
  <c r="F36"/>
  <c r="F35"/>
  <c r="E34"/>
  <c r="F33"/>
  <c r="F32"/>
  <c r="F31"/>
  <c r="F30"/>
  <c r="F29"/>
  <c r="E28"/>
  <c r="F27"/>
  <c r="F26"/>
  <c r="F25"/>
  <c r="E24"/>
  <c r="F23"/>
  <c r="F22"/>
  <c r="F21"/>
  <c r="F20"/>
  <c r="F19"/>
  <c r="F18"/>
  <c r="E17"/>
  <c r="F16"/>
  <c r="F15"/>
  <c r="F14"/>
  <c r="F13"/>
  <c r="F12"/>
  <c r="F11"/>
  <c r="I15" i="5"/>
  <c r="G15"/>
  <c r="H65" i="2"/>
  <c r="H64"/>
  <c r="H63"/>
  <c r="H62"/>
  <c r="H66" s="1"/>
  <c r="H61"/>
  <c r="H24"/>
  <c r="D58" i="5"/>
  <c r="I40"/>
  <c r="I21"/>
  <c r="I50"/>
  <c r="I48"/>
  <c r="I16"/>
  <c r="I12"/>
  <c r="F12"/>
  <c r="H12" s="1"/>
  <c r="E12"/>
  <c r="C12"/>
  <c r="F16"/>
  <c r="H16" s="1"/>
  <c r="C16"/>
  <c r="E16" s="1"/>
  <c r="F48"/>
  <c r="H48" s="1"/>
  <c r="C48"/>
  <c r="E48" s="1"/>
  <c r="F50"/>
  <c r="H50" s="1"/>
  <c r="C50"/>
  <c r="E50" s="1"/>
  <c r="F21"/>
  <c r="C21"/>
  <c r="E21" s="1"/>
  <c r="G46"/>
  <c r="I46" s="1"/>
  <c r="F46"/>
  <c r="C46"/>
  <c r="E46" s="1"/>
  <c r="G53"/>
  <c r="I53" s="1"/>
  <c r="F53"/>
  <c r="C53"/>
  <c r="E53" s="1"/>
  <c r="G47"/>
  <c r="I47" s="1"/>
  <c r="F47"/>
  <c r="C47"/>
  <c r="E47" s="1"/>
  <c r="G43"/>
  <c r="I43" s="1"/>
  <c r="F43"/>
  <c r="C43"/>
  <c r="G22"/>
  <c r="I22" s="1"/>
  <c r="F22"/>
  <c r="C22"/>
  <c r="E22" s="1"/>
  <c r="G49"/>
  <c r="I49" s="1"/>
  <c r="F49"/>
  <c r="C49"/>
  <c r="E49" s="1"/>
  <c r="G31"/>
  <c r="I31" s="1"/>
  <c r="F31"/>
  <c r="C31"/>
  <c r="E31" s="1"/>
  <c r="G27"/>
  <c r="I27" s="1"/>
  <c r="F27"/>
  <c r="C27"/>
  <c r="E27" s="1"/>
  <c r="G29"/>
  <c r="I29" s="1"/>
  <c r="F29"/>
  <c r="C29"/>
  <c r="E29" s="1"/>
  <c r="G55"/>
  <c r="I55" s="1"/>
  <c r="F55"/>
  <c r="C55"/>
  <c r="G54"/>
  <c r="I54" s="1"/>
  <c r="F54"/>
  <c r="C54"/>
  <c r="E54" s="1"/>
  <c r="G32"/>
  <c r="I32" s="1"/>
  <c r="F32"/>
  <c r="C32"/>
  <c r="E32" s="1"/>
  <c r="G38"/>
  <c r="I38" s="1"/>
  <c r="F38"/>
  <c r="C38"/>
  <c r="E38" s="1"/>
  <c r="G52"/>
  <c r="I52" s="1"/>
  <c r="F52"/>
  <c r="C52"/>
  <c r="E52" s="1"/>
  <c r="G23"/>
  <c r="I23" s="1"/>
  <c r="F23"/>
  <c r="C23"/>
  <c r="E23" s="1"/>
  <c r="G44"/>
  <c r="I44" s="1"/>
  <c r="F44"/>
  <c r="C44"/>
  <c r="E44" s="1"/>
  <c r="G39"/>
  <c r="I39" s="1"/>
  <c r="F39"/>
  <c r="C39"/>
  <c r="G28"/>
  <c r="I28" s="1"/>
  <c r="F28"/>
  <c r="C28"/>
  <c r="E28" s="1"/>
  <c r="G30"/>
  <c r="I30" s="1"/>
  <c r="F30"/>
  <c r="C30"/>
  <c r="E30" s="1"/>
  <c r="G41"/>
  <c r="I41" s="1"/>
  <c r="F41"/>
  <c r="C41"/>
  <c r="E41" s="1"/>
  <c r="G36"/>
  <c r="I36" s="1"/>
  <c r="F36"/>
  <c r="C36"/>
  <c r="E36" s="1"/>
  <c r="G19"/>
  <c r="I19" s="1"/>
  <c r="F19"/>
  <c r="C19"/>
  <c r="E19" s="1"/>
  <c r="G35"/>
  <c r="I35" s="1"/>
  <c r="F35"/>
  <c r="C35"/>
  <c r="E35" s="1"/>
  <c r="G17"/>
  <c r="I17" s="1"/>
  <c r="F17"/>
  <c r="C17"/>
  <c r="E17" s="1"/>
  <c r="G11"/>
  <c r="I11" s="1"/>
  <c r="F11"/>
  <c r="C11"/>
  <c r="E11" s="1"/>
  <c r="G37"/>
  <c r="I37" s="1"/>
  <c r="F37"/>
  <c r="C37"/>
  <c r="E37" s="1"/>
  <c r="G14"/>
  <c r="I14" s="1"/>
  <c r="F14"/>
  <c r="C14"/>
  <c r="E14" s="1"/>
  <c r="G10"/>
  <c r="I10" s="1"/>
  <c r="F10"/>
  <c r="C10"/>
  <c r="C58" s="1"/>
  <c r="G56"/>
  <c r="I56" s="1"/>
  <c r="F56"/>
  <c r="E56"/>
  <c r="G42"/>
  <c r="I42" s="1"/>
  <c r="F42"/>
  <c r="E42"/>
  <c r="F15"/>
  <c r="E15"/>
  <c r="G26"/>
  <c r="I26" s="1"/>
  <c r="F26"/>
  <c r="C26"/>
  <c r="E26" s="1"/>
  <c r="G24"/>
  <c r="I24" s="1"/>
  <c r="F24"/>
  <c r="C24"/>
  <c r="E24" s="1"/>
  <c r="G18"/>
  <c r="I18" s="1"/>
  <c r="F18"/>
  <c r="C18"/>
  <c r="E18" s="1"/>
  <c r="G13"/>
  <c r="I13" s="1"/>
  <c r="F13"/>
  <c r="F58" s="1"/>
  <c r="C13"/>
  <c r="E13" s="1"/>
  <c r="G51"/>
  <c r="I51" s="1"/>
  <c r="F51"/>
  <c r="C51"/>
  <c r="E51" s="1"/>
  <c r="G40"/>
  <c r="F40"/>
  <c r="C40"/>
  <c r="E40" s="1"/>
  <c r="G33"/>
  <c r="I33" s="1"/>
  <c r="F33"/>
  <c r="C33"/>
  <c r="E33" s="1"/>
  <c r="G45"/>
  <c r="I45" s="1"/>
  <c r="F45"/>
  <c r="C45"/>
  <c r="E45" s="1"/>
  <c r="G20"/>
  <c r="I20" s="1"/>
  <c r="F20"/>
  <c r="C20"/>
  <c r="E20" s="1"/>
  <c r="G25"/>
  <c r="I25" s="1"/>
  <c r="F25"/>
  <c r="C25"/>
  <c r="G57"/>
  <c r="I57" s="1"/>
  <c r="F57"/>
  <c r="C57"/>
  <c r="E57" s="1"/>
  <c r="G34"/>
  <c r="I34" s="1"/>
  <c r="F34"/>
  <c r="C34"/>
  <c r="E34" s="1"/>
  <c r="G64" i="12" l="1"/>
  <c r="G65" s="1"/>
  <c r="F64"/>
  <c r="F65" s="1"/>
  <c r="E64"/>
  <c r="E65" s="1"/>
  <c r="D64"/>
  <c r="J9" i="3"/>
  <c r="J13"/>
  <c r="K64" i="12"/>
  <c r="E14" i="3"/>
  <c r="F17"/>
  <c r="E10" i="4" s="1"/>
  <c r="E11" s="1"/>
  <c r="K45" i="12"/>
  <c r="J15" i="3"/>
  <c r="K11" i="12"/>
  <c r="G17" i="3"/>
  <c r="K57" i="12"/>
  <c r="K51"/>
  <c r="K38"/>
  <c r="K31"/>
  <c r="K25"/>
  <c r="K18"/>
  <c r="L65"/>
  <c r="J65"/>
  <c r="I65"/>
  <c r="H65"/>
  <c r="J14" i="3"/>
  <c r="J11" i="11"/>
  <c r="G58" i="5"/>
  <c r="F34" i="6"/>
  <c r="F41"/>
  <c r="F48"/>
  <c r="F67"/>
  <c r="F24"/>
  <c r="F54"/>
  <c r="F61"/>
  <c r="F28"/>
  <c r="E68"/>
  <c r="F17"/>
  <c r="I58" i="5"/>
  <c r="H39"/>
  <c r="H51"/>
  <c r="H33"/>
  <c r="H55"/>
  <c r="H31"/>
  <c r="H30"/>
  <c r="H22"/>
  <c r="H14"/>
  <c r="H42"/>
  <c r="H56"/>
  <c r="H11"/>
  <c r="H44"/>
  <c r="H32"/>
  <c r="H54"/>
  <c r="H25"/>
  <c r="H13"/>
  <c r="H17"/>
  <c r="H46"/>
  <c r="H28"/>
  <c r="H34"/>
  <c r="H57"/>
  <c r="H20"/>
  <c r="H26"/>
  <c r="H10"/>
  <c r="H19"/>
  <c r="H23"/>
  <c r="H38"/>
  <c r="H43"/>
  <c r="H40"/>
  <c r="H27"/>
  <c r="H45"/>
  <c r="H15"/>
  <c r="H37"/>
  <c r="H35"/>
  <c r="H36"/>
  <c r="E39"/>
  <c r="H53"/>
  <c r="H24"/>
  <c r="H41"/>
  <c r="H52"/>
  <c r="H49"/>
  <c r="E25"/>
  <c r="H18"/>
  <c r="E10"/>
  <c r="E58" s="1"/>
  <c r="E55"/>
  <c r="H29"/>
  <c r="E43"/>
  <c r="H47"/>
  <c r="H21"/>
  <c r="G39" i="2"/>
  <c r="H36"/>
  <c r="G36"/>
  <c r="G35"/>
  <c r="H34"/>
  <c r="L17" i="3"/>
  <c r="G10" i="4" s="1"/>
  <c r="G11" s="1"/>
  <c r="K17" i="3"/>
  <c r="I17"/>
  <c r="H17"/>
  <c r="D17"/>
  <c r="D65" i="12" l="1"/>
  <c r="C16" i="3"/>
  <c r="C17" s="1"/>
  <c r="B10" i="4" s="1"/>
  <c r="B11" s="1"/>
  <c r="E17" i="3"/>
  <c r="D10" i="4" s="1"/>
  <c r="D11" s="1"/>
  <c r="C10"/>
  <c r="C11" s="1"/>
  <c r="K65" i="12"/>
  <c r="H58" i="5"/>
  <c r="J17" i="3"/>
  <c r="E66" i="2"/>
  <c r="G65"/>
  <c r="I65" s="1"/>
  <c r="D65"/>
  <c r="F65" s="1"/>
  <c r="G64"/>
  <c r="I64" s="1"/>
  <c r="D64"/>
  <c r="F64" s="1"/>
  <c r="G63"/>
  <c r="I63" s="1"/>
  <c r="D63"/>
  <c r="F63" s="1"/>
  <c r="G62"/>
  <c r="I62" s="1"/>
  <c r="D62"/>
  <c r="F62" s="1"/>
  <c r="G61"/>
  <c r="I61" s="1"/>
  <c r="D61"/>
  <c r="D66" s="1"/>
  <c r="E60"/>
  <c r="H59"/>
  <c r="G59"/>
  <c r="D59"/>
  <c r="F59" s="1"/>
  <c r="H58"/>
  <c r="G58"/>
  <c r="D58"/>
  <c r="F58" s="1"/>
  <c r="H57"/>
  <c r="I57" s="1"/>
  <c r="G57"/>
  <c r="D57"/>
  <c r="F57" s="1"/>
  <c r="H56"/>
  <c r="G56"/>
  <c r="D56"/>
  <c r="F56" s="1"/>
  <c r="H55"/>
  <c r="G55"/>
  <c r="I55" s="1"/>
  <c r="D55"/>
  <c r="F55" s="1"/>
  <c r="H54"/>
  <c r="G54"/>
  <c r="F54"/>
  <c r="D54"/>
  <c r="E53"/>
  <c r="H52"/>
  <c r="G52"/>
  <c r="I52" s="1"/>
  <c r="D52"/>
  <c r="F52" s="1"/>
  <c r="H51"/>
  <c r="G51"/>
  <c r="F51"/>
  <c r="D51"/>
  <c r="H50"/>
  <c r="I50" s="1"/>
  <c r="G50"/>
  <c r="D50"/>
  <c r="F50" s="1"/>
  <c r="H49"/>
  <c r="G49"/>
  <c r="F49"/>
  <c r="D49"/>
  <c r="H48"/>
  <c r="G48"/>
  <c r="D48"/>
  <c r="D53" s="1"/>
  <c r="E47"/>
  <c r="H46"/>
  <c r="I46" s="1"/>
  <c r="G46"/>
  <c r="F46"/>
  <c r="D46"/>
  <c r="H45"/>
  <c r="G45"/>
  <c r="D45"/>
  <c r="F45" s="1"/>
  <c r="H44"/>
  <c r="G44"/>
  <c r="D44"/>
  <c r="F44" s="1"/>
  <c r="H43"/>
  <c r="I43" s="1"/>
  <c r="G43"/>
  <c r="D43"/>
  <c r="F43" s="1"/>
  <c r="H42"/>
  <c r="G42"/>
  <c r="D42"/>
  <c r="F42" s="1"/>
  <c r="H41"/>
  <c r="G41"/>
  <c r="I41" s="1"/>
  <c r="D41"/>
  <c r="F41" s="1"/>
  <c r="E40"/>
  <c r="H39"/>
  <c r="I39" s="1"/>
  <c r="D39"/>
  <c r="F39" s="1"/>
  <c r="H38"/>
  <c r="H40" s="1"/>
  <c r="G38"/>
  <c r="D38"/>
  <c r="F38" s="1"/>
  <c r="H37"/>
  <c r="G37"/>
  <c r="D37"/>
  <c r="F37" s="1"/>
  <c r="I36"/>
  <c r="D36"/>
  <c r="F36" s="1"/>
  <c r="H35"/>
  <c r="I35" s="1"/>
  <c r="D35"/>
  <c r="F35" s="1"/>
  <c r="G34"/>
  <c r="I34" s="1"/>
  <c r="D34"/>
  <c r="F34" s="1"/>
  <c r="E33"/>
  <c r="H32"/>
  <c r="G32"/>
  <c r="D32"/>
  <c r="F32" s="1"/>
  <c r="H31"/>
  <c r="G31"/>
  <c r="I31" s="1"/>
  <c r="D31"/>
  <c r="F31" s="1"/>
  <c r="H30"/>
  <c r="G30"/>
  <c r="F30"/>
  <c r="D30"/>
  <c r="H29"/>
  <c r="I29" s="1"/>
  <c r="G29"/>
  <c r="D29"/>
  <c r="F29" s="1"/>
  <c r="H28"/>
  <c r="G28"/>
  <c r="F28"/>
  <c r="D28"/>
  <c r="E27"/>
  <c r="D27"/>
  <c r="H26"/>
  <c r="I26" s="1"/>
  <c r="G26"/>
  <c r="F26"/>
  <c r="H25"/>
  <c r="I25" s="1"/>
  <c r="G25"/>
  <c r="F25"/>
  <c r="H27"/>
  <c r="G24"/>
  <c r="G27" s="1"/>
  <c r="F24"/>
  <c r="E23"/>
  <c r="H22"/>
  <c r="G22"/>
  <c r="I22" s="1"/>
  <c r="D22"/>
  <c r="F22" s="1"/>
  <c r="H21"/>
  <c r="G21"/>
  <c r="D21"/>
  <c r="F21" s="1"/>
  <c r="H20"/>
  <c r="I20" s="1"/>
  <c r="G20"/>
  <c r="D20"/>
  <c r="F20" s="1"/>
  <c r="H19"/>
  <c r="G19"/>
  <c r="D19"/>
  <c r="F19" s="1"/>
  <c r="H18"/>
  <c r="G18"/>
  <c r="I18" s="1"/>
  <c r="D18"/>
  <c r="F18" s="1"/>
  <c r="H17"/>
  <c r="I17" s="1"/>
  <c r="G17"/>
  <c r="D17"/>
  <c r="F17" s="1"/>
  <c r="E16"/>
  <c r="H15"/>
  <c r="G15"/>
  <c r="I15" s="1"/>
  <c r="D15"/>
  <c r="F15" s="1"/>
  <c r="H14"/>
  <c r="I14" s="1"/>
  <c r="G14"/>
  <c r="D14"/>
  <c r="F14" s="1"/>
  <c r="I13"/>
  <c r="H13"/>
  <c r="G13"/>
  <c r="D13"/>
  <c r="F13" s="1"/>
  <c r="H12"/>
  <c r="I12" s="1"/>
  <c r="G12"/>
  <c r="D12"/>
  <c r="F12" s="1"/>
  <c r="H11"/>
  <c r="G11"/>
  <c r="D11"/>
  <c r="F11" s="1"/>
  <c r="H10"/>
  <c r="G10"/>
  <c r="G16" s="1"/>
  <c r="D10"/>
  <c r="D16" s="1"/>
  <c r="F10" l="1"/>
  <c r="I11"/>
  <c r="G23"/>
  <c r="I19"/>
  <c r="I21"/>
  <c r="F23"/>
  <c r="I24"/>
  <c r="I38"/>
  <c r="I42"/>
  <c r="I44"/>
  <c r="D60"/>
  <c r="I59"/>
  <c r="F61"/>
  <c r="G66"/>
  <c r="I66" s="1"/>
  <c r="I27"/>
  <c r="I28"/>
  <c r="I30"/>
  <c r="H53"/>
  <c r="I53" s="1"/>
  <c r="I51"/>
  <c r="F53"/>
  <c r="I54"/>
  <c r="I10"/>
  <c r="D23"/>
  <c r="F27"/>
  <c r="G33"/>
  <c r="I32"/>
  <c r="I37"/>
  <c r="I45"/>
  <c r="G53"/>
  <c r="G60"/>
  <c r="I56"/>
  <c r="I58"/>
  <c r="F60"/>
  <c r="F10" i="4"/>
  <c r="F11" s="1"/>
  <c r="F66" i="2"/>
  <c r="F16"/>
  <c r="D33"/>
  <c r="F33" s="1"/>
  <c r="H16"/>
  <c r="I16" s="1"/>
  <c r="H23"/>
  <c r="I23" s="1"/>
  <c r="G40"/>
  <c r="G47"/>
  <c r="F48"/>
  <c r="I49"/>
  <c r="H60"/>
  <c r="H33"/>
  <c r="I33" s="1"/>
  <c r="D47"/>
  <c r="F47" s="1"/>
  <c r="I48"/>
  <c r="D40"/>
  <c r="F40" s="1"/>
  <c r="H47"/>
  <c r="I47" s="1"/>
  <c r="E67"/>
  <c r="G67" l="1"/>
  <c r="I60"/>
  <c r="H67"/>
  <c r="D67"/>
  <c r="F67" s="1"/>
  <c r="I40"/>
  <c r="I67" l="1"/>
</calcChain>
</file>

<file path=xl/sharedStrings.xml><?xml version="1.0" encoding="utf-8"?>
<sst xmlns="http://schemas.openxmlformats.org/spreadsheetml/2006/main" count="450" uniqueCount="159">
  <si>
    <t>الجمهــوريـــة الجزائريــــــة الديمقــراطيـــــة الشعبيــــة</t>
  </si>
  <si>
    <t>وزارة التجــارة</t>
  </si>
  <si>
    <t>المديريـة العـامـة لضبـط النشاطـات وتنظيمهـا</t>
  </si>
  <si>
    <t xml:space="preserve">مديرية تنظيم الأسـواق والنشاطات التجارية والمهن المقننة </t>
  </si>
  <si>
    <t>Aid el Adha 2019</t>
  </si>
  <si>
    <t>Wilaya</t>
  </si>
  <si>
    <t>Nbr Global de commerçants inscrits</t>
  </si>
  <si>
    <t>Nbr Global de commerçants réquisitionnés</t>
  </si>
  <si>
    <t>taux global %</t>
  </si>
  <si>
    <t>Alger</t>
  </si>
  <si>
    <t>Sétif</t>
  </si>
  <si>
    <t>Tizi Ouzou</t>
  </si>
  <si>
    <t>Oran</t>
  </si>
  <si>
    <t>Sidi bel abbes</t>
  </si>
  <si>
    <t>CONSTANTINE</t>
  </si>
  <si>
    <t>Tlemcen</t>
  </si>
  <si>
    <t>Jijel</t>
  </si>
  <si>
    <t>Ain Témouchent</t>
  </si>
  <si>
    <t>Ain Defla</t>
  </si>
  <si>
    <t>Boumerdes</t>
  </si>
  <si>
    <t>Blida</t>
  </si>
  <si>
    <t>Bouira</t>
  </si>
  <si>
    <t>SKIKDA</t>
  </si>
  <si>
    <t>BBA</t>
  </si>
  <si>
    <t>EL TARF</t>
  </si>
  <si>
    <t>ANNABA</t>
  </si>
  <si>
    <t>Béjaia</t>
  </si>
  <si>
    <t>Tipaza</t>
  </si>
  <si>
    <t>GUELMA</t>
  </si>
  <si>
    <t>TEBESSA</t>
  </si>
  <si>
    <t>Chelef</t>
  </si>
  <si>
    <t>SOUK AHRAS</t>
  </si>
  <si>
    <t>Medea</t>
  </si>
  <si>
    <t>Mostaganem</t>
  </si>
  <si>
    <t>Tiaret</t>
  </si>
  <si>
    <t>M'sila</t>
  </si>
  <si>
    <t>Mascara</t>
  </si>
  <si>
    <t>OUM EL BOUAGHI</t>
  </si>
  <si>
    <t>Mila</t>
  </si>
  <si>
    <t xml:space="preserve">Naama </t>
  </si>
  <si>
    <t>KHENCHELA</t>
  </si>
  <si>
    <t>BATNA</t>
  </si>
  <si>
    <t>El Oued</t>
  </si>
  <si>
    <t>BISKRA</t>
  </si>
  <si>
    <t>Relizane</t>
  </si>
  <si>
    <t>Laghouat</t>
  </si>
  <si>
    <t>Ouargla</t>
  </si>
  <si>
    <t>Ghardaia</t>
  </si>
  <si>
    <t>Djelfa</t>
  </si>
  <si>
    <t>Saida</t>
  </si>
  <si>
    <t>Adrar</t>
  </si>
  <si>
    <t xml:space="preserve">Bechar </t>
  </si>
  <si>
    <t xml:space="preserve">El-bayadh </t>
  </si>
  <si>
    <t>Tamanrasset</t>
  </si>
  <si>
    <t>Tissemsilt</t>
  </si>
  <si>
    <t>Illizi</t>
  </si>
  <si>
    <t xml:space="preserve">Tindouf </t>
  </si>
  <si>
    <t>Total</t>
  </si>
  <si>
    <t>Aid el Fitr 2019</t>
  </si>
  <si>
    <t>DRC</t>
  </si>
  <si>
    <t>Total Régional</t>
  </si>
  <si>
    <t>Annaba</t>
  </si>
  <si>
    <t>Batna</t>
  </si>
  <si>
    <t>Béchar</t>
  </si>
  <si>
    <t>Total National</t>
  </si>
  <si>
    <t xml:space="preserve">                              REPUBLIQUE ALGERIENNE DEMOCRATIQUE ET POPULAIRE</t>
  </si>
  <si>
    <t>MINISTERE DU COMMERCE</t>
  </si>
  <si>
    <t>Directions Régionales</t>
  </si>
  <si>
    <t xml:space="preserve"> Nombre global de commerçants réquisitionnés </t>
  </si>
  <si>
    <t>Nombre de boulangeries concernées</t>
  </si>
  <si>
    <t xml:space="preserve"> Nombre de commerçants de l’alimentation générale, fruits et légumes</t>
  </si>
  <si>
    <t>Nombre de commerçants activant dans d’autres branches d’activités</t>
  </si>
  <si>
    <t>Laiteries</t>
  </si>
  <si>
    <t>Minoteries</t>
  </si>
  <si>
    <t>Eaux minérales</t>
  </si>
  <si>
    <t>total</t>
  </si>
  <si>
    <t>Nombre d'agents mobilisés</t>
  </si>
  <si>
    <t xml:space="preserve">Total </t>
  </si>
  <si>
    <t>Etat évolutif des permanences  de l'Aid el Fitr et l'Aid el Adha au titre des années  2019</t>
  </si>
  <si>
    <t xml:space="preserve"> Nombre global des commerçants concernés </t>
  </si>
  <si>
    <t>Nombre des boulangeries concernées</t>
  </si>
  <si>
    <t xml:space="preserve"> Nombre des commerçants de l’alimentation générale, fruits et légumes</t>
  </si>
  <si>
    <t>Nombre de commerçants activantdans d’autres branches d’activités</t>
  </si>
  <si>
    <t>Nombre des unités de production</t>
  </si>
  <si>
    <t>Evolution    (%)</t>
  </si>
  <si>
    <t>Nombre d'unités de production</t>
  </si>
  <si>
    <t>Aid el Adha 2018</t>
  </si>
  <si>
    <t xml:space="preserve">                               Etat évolutif du nombre de commerçants réquisitionnés par régions au titre des fêtes de l'Aïd des années 2018 et 2019</t>
  </si>
  <si>
    <t>Etat évolutif du nombre de commerçants réquisitionnés par wilayas au titre des fêtes de l'Aïd des années 2018 et 2019</t>
  </si>
  <si>
    <t xml:space="preserve">                                                   Etat évolutif du nombre de commerçants réquisitionnés                                                        au titre des fêtes de l'Aïd des années 2017, 2018 et 2019.</t>
  </si>
  <si>
    <t xml:space="preserve"> Nombre global de commerçants concernés </t>
  </si>
  <si>
    <t xml:space="preserve">Nombre de boulangeries </t>
  </si>
  <si>
    <t>Nombre d'agents de contrôle mobilisés</t>
  </si>
  <si>
    <t xml:space="preserve"> Aid El Adha 2017 (1) </t>
  </si>
  <si>
    <t xml:space="preserve"> Aid El Adha 2018 (2)</t>
  </si>
  <si>
    <t xml:space="preserve">Evolution (2/1)   (%) </t>
  </si>
  <si>
    <t xml:space="preserve"> Aid El Fitr 2019 (3)</t>
  </si>
  <si>
    <t xml:space="preserve"> Aid El Adha 2019 (4)</t>
  </si>
  <si>
    <t>Evolution    (%)  (4/1)</t>
  </si>
  <si>
    <t>Evolution    (%) (4/2)</t>
  </si>
  <si>
    <t>Evolution    (%) (4/3)</t>
  </si>
  <si>
    <t xml:space="preserve">                                                    Etat évolutif du nombre de commerçants réquisitionnés                                                        au titre des fêtes de l'Aïd des années 2018 et 2019.</t>
  </si>
  <si>
    <t xml:space="preserve"> Aid El Adha 2017 </t>
  </si>
  <si>
    <t xml:space="preserve"> Aid El Adha 2018 (1)</t>
  </si>
  <si>
    <t xml:space="preserve">Evolution    (%) </t>
  </si>
  <si>
    <t xml:space="preserve"> Aid El Fitr 2019 (2)</t>
  </si>
  <si>
    <t xml:space="preserve"> Aid El Adha 2019 (3)</t>
  </si>
  <si>
    <t>Evolution    (%) (3/1)</t>
  </si>
  <si>
    <t>Evolution    (%) (3/2)</t>
  </si>
  <si>
    <t>Tableau n°3 : Etat d'exécution du programme des permanences durant l'aïd El Fitr 2020</t>
  </si>
  <si>
    <t>1er jour</t>
  </si>
  <si>
    <t>2èmé jour</t>
  </si>
  <si>
    <t>Nombre de commerçants réquisitionnés</t>
  </si>
  <si>
    <t>Nombre de commerçants respecté la permanence</t>
  </si>
  <si>
    <t>Pourcentage %</t>
  </si>
  <si>
    <t>Ministère du commerce</t>
  </si>
  <si>
    <r>
      <t xml:space="preserve">        ALGER                          (</t>
    </r>
    <r>
      <rPr>
        <b/>
        <sz val="10"/>
        <rFont val="Times New Roman"/>
        <family val="1"/>
      </rPr>
      <t>Alger, Tipaza et Boumerdés)</t>
    </r>
  </si>
  <si>
    <r>
      <t xml:space="preserve">    BLIDA                               </t>
    </r>
    <r>
      <rPr>
        <b/>
        <sz val="10"/>
        <rFont val="Times New Roman"/>
        <family val="1"/>
      </rPr>
      <t>(Blida, Ain-defla, Bouira, Médéa, Tizi-Ouzou et Médéa)</t>
    </r>
  </si>
  <si>
    <r>
      <t xml:space="preserve">      ANNABA                       </t>
    </r>
    <r>
      <rPr>
        <b/>
        <sz val="10"/>
        <rFont val="Times New Roman"/>
        <family val="1"/>
      </rPr>
      <t>(Annaba, Souk-Ahras,Skikda, Taref et Guelma)</t>
    </r>
  </si>
  <si>
    <r>
      <t xml:space="preserve">     SETIF                                 </t>
    </r>
    <r>
      <rPr>
        <b/>
        <sz val="10"/>
        <rFont val="Times New Roman"/>
        <family val="1"/>
      </rPr>
      <t>(Sétif, Bordj-Bouaréridj, Msila ,Mila, Jijel et Béjaia)</t>
    </r>
  </si>
  <si>
    <r>
      <t xml:space="preserve">SAIDA                                    </t>
    </r>
    <r>
      <rPr>
        <b/>
        <sz val="10"/>
        <rFont val="Times New Roman"/>
        <family val="1"/>
      </rPr>
      <t>(Saida, Chlef, Mascara, Relizane, Tisemsilt et Tiaret )</t>
    </r>
  </si>
  <si>
    <r>
      <t xml:space="preserve">    ORAN                                  </t>
    </r>
    <r>
      <rPr>
        <b/>
        <sz val="10"/>
        <rFont val="Times New Roman"/>
        <family val="1"/>
      </rPr>
      <t>(Oran, Tlemcen, Sidi-Belabés, Mostaganem et Ain-temouchent)</t>
    </r>
  </si>
  <si>
    <r>
      <t xml:space="preserve">BATNA                                 </t>
    </r>
    <r>
      <rPr>
        <b/>
        <sz val="10"/>
        <rFont val="Times New Roman"/>
        <family val="1"/>
      </rPr>
      <t>(Batna, Biskra, Oum el Bouaghi, Khenchla, Tbessa et Constantine)</t>
    </r>
  </si>
  <si>
    <r>
      <t xml:space="preserve">BECHAR                            </t>
    </r>
    <r>
      <rPr>
        <b/>
        <sz val="10"/>
        <rFont val="Times New Roman"/>
        <family val="1"/>
      </rPr>
      <t>(Bechar, Adrar, Tindouf, El Bayadh et Naama)</t>
    </r>
  </si>
  <si>
    <r>
      <t xml:space="preserve"> OUARGLA                       </t>
    </r>
    <r>
      <rPr>
        <b/>
        <sz val="10"/>
        <rFont val="Times New Roman"/>
        <family val="1"/>
      </rPr>
      <t>(Ouargla, Ghardaia, Laghouat, El-Oued, Illizi et Tamanrasset)</t>
    </r>
  </si>
  <si>
    <t>l'Aid El Adha 2020</t>
  </si>
  <si>
    <t>l'Aid El Adha2021</t>
  </si>
  <si>
    <t>Etat évolutif des permanences  de l'Aid El Adha 2020</t>
  </si>
  <si>
    <t xml:space="preserve">      et l'Aid El Adha au titre de l'année  2021                                       </t>
  </si>
  <si>
    <t>Programme de permanence durant l'Aid El Adha  2021</t>
  </si>
  <si>
    <t>Wilayas</t>
  </si>
  <si>
    <t xml:space="preserve">Boumerdès </t>
  </si>
  <si>
    <t>S/TOTAL</t>
  </si>
  <si>
    <t xml:space="preserve">Blida </t>
  </si>
  <si>
    <t>Tizi-Ouzou</t>
  </si>
  <si>
    <t>Médéa</t>
  </si>
  <si>
    <t>Ain defla</t>
  </si>
  <si>
    <t>Setif</t>
  </si>
  <si>
    <t>Bejaia</t>
  </si>
  <si>
    <t>B.B.A</t>
  </si>
  <si>
    <t>Skikda</t>
  </si>
  <si>
    <t xml:space="preserve">Taref </t>
  </si>
  <si>
    <t>Guelma</t>
  </si>
  <si>
    <t>Souk ahras</t>
  </si>
  <si>
    <t>Biskra</t>
  </si>
  <si>
    <t>Tebessa</t>
  </si>
  <si>
    <t>Constantine</t>
  </si>
  <si>
    <t>Oum el bouaghi</t>
  </si>
  <si>
    <t>Khenchela</t>
  </si>
  <si>
    <t xml:space="preserve">Tissemsilt </t>
  </si>
  <si>
    <t>Chlef</t>
  </si>
  <si>
    <t>Ain temouchent</t>
  </si>
  <si>
    <t>Bechar</t>
  </si>
  <si>
    <t>Elbayadh</t>
  </si>
  <si>
    <t>Naama</t>
  </si>
  <si>
    <t>Tindouf</t>
  </si>
  <si>
    <t>El oued</t>
  </si>
  <si>
    <t>TOTAL GENERAL</t>
  </si>
  <si>
    <t>Programme de permanence durant l'Aid el Adha   2021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</si>
</sst>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;[Red]#,##0"/>
    <numFmt numFmtId="165" formatCode="_-* #,##0\ _€_-;\-* #,##0\ _€_-;_-* &quot;-&quot;??\ _€_-;_-@_-"/>
    <numFmt numFmtId="166" formatCode="_-* #,##0.0\ _€_-;\-* #,##0.0\ _€_-;_-* &quot;-&quot;??\ _€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1"/>
      <name val="Cambria"/>
      <family val="1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mbria"/>
      <family val="1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 readingOrder="1"/>
    </xf>
    <xf numFmtId="0" fontId="6" fillId="3" borderId="4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9" fontId="2" fillId="2" borderId="4" xfId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10" fillId="5" borderId="5" xfId="0" applyFont="1" applyFill="1" applyBorder="1" applyAlignment="1">
      <alignment horizontal="center" wrapText="1"/>
    </xf>
    <xf numFmtId="3" fontId="7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3" fontId="7" fillId="0" borderId="5" xfId="0" applyNumberFormat="1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1" fillId="0" borderId="0" xfId="0" applyFont="1" applyAlignment="1"/>
    <xf numFmtId="0" fontId="24" fillId="7" borderId="5" xfId="0" applyFont="1" applyFill="1" applyBorder="1" applyAlignment="1">
      <alignment horizontal="center" vertical="center"/>
    </xf>
    <xf numFmtId="165" fontId="25" fillId="0" borderId="5" xfId="3" applyNumberFormat="1" applyFont="1" applyBorder="1" applyAlignment="1">
      <alignment horizontal="center" vertical="center"/>
    </xf>
    <xf numFmtId="165" fontId="0" fillId="0" borderId="0" xfId="0" applyNumberFormat="1"/>
    <xf numFmtId="166" fontId="25" fillId="0" borderId="5" xfId="3" applyNumberFormat="1" applyFont="1" applyBorder="1" applyAlignment="1">
      <alignment horizontal="center" vertical="center"/>
    </xf>
    <xf numFmtId="0" fontId="25" fillId="0" borderId="0" xfId="0" applyFont="1"/>
    <xf numFmtId="0" fontId="0" fillId="0" borderId="9" xfId="0" applyBorder="1"/>
    <xf numFmtId="0" fontId="28" fillId="0" borderId="9" xfId="0" applyFont="1" applyBorder="1" applyAlignment="1">
      <alignment horizontal="center"/>
    </xf>
    <xf numFmtId="0" fontId="29" fillId="8" borderId="4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9" borderId="0" xfId="0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3" fontId="7" fillId="0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/>
    <xf numFmtId="0" fontId="35" fillId="7" borderId="4" xfId="0" applyFont="1" applyFill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0" fontId="36" fillId="0" borderId="0" xfId="0" applyFont="1" applyAlignment="1">
      <alignment horizontal="left"/>
    </xf>
    <xf numFmtId="0" fontId="39" fillId="0" borderId="0" xfId="0" applyFont="1" applyAlignment="1"/>
    <xf numFmtId="0" fontId="40" fillId="4" borderId="6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0" fontId="44" fillId="0" borderId="5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/>
    </xf>
    <xf numFmtId="0" fontId="45" fillId="0" borderId="5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4" fillId="2" borderId="5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 readingOrder="2"/>
    </xf>
    <xf numFmtId="0" fontId="9" fillId="2" borderId="4" xfId="0" applyFont="1" applyFill="1" applyBorder="1" applyAlignment="1">
      <alignment horizontal="center" vertical="center" wrapText="1" readingOrder="2"/>
    </xf>
    <xf numFmtId="0" fontId="43" fillId="0" borderId="6" xfId="0" applyFont="1" applyFill="1" applyBorder="1" applyAlignment="1">
      <alignment horizontal="center" vertical="center" textRotation="90"/>
    </xf>
    <xf numFmtId="0" fontId="43" fillId="0" borderId="19" xfId="0" applyFont="1" applyFill="1" applyBorder="1" applyAlignment="1">
      <alignment horizontal="center" vertical="center" textRotation="90"/>
    </xf>
    <xf numFmtId="0" fontId="43" fillId="0" borderId="20" xfId="0" applyFont="1" applyFill="1" applyBorder="1" applyAlignment="1">
      <alignment horizontal="center" vertical="center" textRotation="90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3" fillId="0" borderId="6" xfId="0" applyFont="1" applyFill="1" applyBorder="1" applyAlignment="1">
      <alignment horizontal="center" vertical="center" textRotation="90" wrapText="1"/>
    </xf>
    <xf numFmtId="0" fontId="43" fillId="0" borderId="19" xfId="0" applyFont="1" applyFill="1" applyBorder="1" applyAlignment="1">
      <alignment horizontal="center" vertical="center" textRotation="90" wrapText="1"/>
    </xf>
    <xf numFmtId="0" fontId="43" fillId="0" borderId="20" xfId="0" applyFont="1" applyFill="1" applyBorder="1" applyAlignment="1">
      <alignment horizontal="center" vertical="center" textRotation="90" wrapText="1"/>
    </xf>
    <xf numFmtId="0" fontId="47" fillId="0" borderId="6" xfId="0" applyFont="1" applyFill="1" applyBorder="1" applyAlignment="1">
      <alignment horizontal="center" vertical="center" textRotation="90"/>
    </xf>
    <xf numFmtId="0" fontId="47" fillId="0" borderId="19" xfId="0" applyFont="1" applyFill="1" applyBorder="1" applyAlignment="1">
      <alignment horizontal="center" vertical="center" textRotation="90"/>
    </xf>
    <xf numFmtId="0" fontId="47" fillId="0" borderId="20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4" fillId="7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</cellXfs>
  <cellStyles count="4">
    <cellStyle name="Milliers" xfId="3" builtinId="3"/>
    <cellStyle name="Normal" xfId="0" builtinId="0"/>
    <cellStyle name="Normal 2 2" xfId="2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'[1]2017-2018-2019'!$A$8</c:f>
              <c:strCache>
                <c:ptCount val="1"/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'[1]2017-2018-2019'!$B$8:$G$8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'[1]2017-2018-2019'!$A$9</c:f>
              <c:strCache>
                <c:ptCount val="1"/>
                <c:pt idx="0">
                  <c:v> Aid El Adha 2017 (1) </c:v>
                </c:pt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'[1]2017-2018-2019'!$B$9:$G$9</c:f>
              <c:numCache>
                <c:formatCode>General</c:formatCode>
                <c:ptCount val="6"/>
                <c:pt idx="0">
                  <c:v>34576</c:v>
                </c:pt>
                <c:pt idx="1">
                  <c:v>4985</c:v>
                </c:pt>
                <c:pt idx="2">
                  <c:v>20763</c:v>
                </c:pt>
                <c:pt idx="3">
                  <c:v>8436</c:v>
                </c:pt>
                <c:pt idx="4">
                  <c:v>392</c:v>
                </c:pt>
                <c:pt idx="5">
                  <c:v>2093</c:v>
                </c:pt>
              </c:numCache>
            </c:numRef>
          </c:val>
        </c:ser>
        <c:ser>
          <c:idx val="2"/>
          <c:order val="2"/>
          <c:tx>
            <c:strRef>
              <c:f>'[1]2017-2018-2019'!$A$10</c:f>
              <c:strCache>
                <c:ptCount val="1"/>
                <c:pt idx="0">
                  <c:v> Aid El Adha 2018 (2)</c:v>
                </c:pt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'[1]2017-2018-2019'!$B$10:$G$10</c:f>
              <c:numCache>
                <c:formatCode>General</c:formatCode>
                <c:ptCount val="6"/>
                <c:pt idx="0">
                  <c:v>50806</c:v>
                </c:pt>
                <c:pt idx="1">
                  <c:v>5506</c:v>
                </c:pt>
                <c:pt idx="2">
                  <c:v>33013</c:v>
                </c:pt>
                <c:pt idx="3">
                  <c:v>11949</c:v>
                </c:pt>
                <c:pt idx="4">
                  <c:v>462</c:v>
                </c:pt>
                <c:pt idx="5">
                  <c:v>2219</c:v>
                </c:pt>
              </c:numCache>
            </c:numRef>
          </c:val>
        </c:ser>
        <c:ser>
          <c:idx val="3"/>
          <c:order val="3"/>
          <c:tx>
            <c:strRef>
              <c:f>'[1]2017-2018-2019'!$A$11</c:f>
              <c:strCache>
                <c:ptCount val="1"/>
                <c:pt idx="0">
                  <c:v>Evolution (2/1)   (%) </c:v>
                </c:pt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'[1]2017-2018-2019'!$B$11:$G$11</c:f>
              <c:numCache>
                <c:formatCode>General</c:formatCode>
                <c:ptCount val="6"/>
                <c:pt idx="0">
                  <c:v>46.940074039796393</c:v>
                </c:pt>
                <c:pt idx="1">
                  <c:v>10.45135406218656</c:v>
                </c:pt>
                <c:pt idx="2">
                  <c:v>58.999181235852241</c:v>
                </c:pt>
                <c:pt idx="3">
                  <c:v>41.642958748221908</c:v>
                </c:pt>
                <c:pt idx="4">
                  <c:v>17.857142857142858</c:v>
                </c:pt>
                <c:pt idx="5">
                  <c:v>6.0200668896321075</c:v>
                </c:pt>
              </c:numCache>
            </c:numRef>
          </c:val>
        </c:ser>
        <c:ser>
          <c:idx val="4"/>
          <c:order val="4"/>
          <c:tx>
            <c:strRef>
              <c:f>'[1]2017-2018-2019'!$A$12</c:f>
              <c:strCache>
                <c:ptCount val="1"/>
                <c:pt idx="0">
                  <c:v> Aid El Fitr 2019 (3)</c:v>
                </c:pt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'[1]2017-2018-2019'!$B$12:$G$12</c:f>
              <c:numCache>
                <c:formatCode>General</c:formatCode>
                <c:ptCount val="6"/>
                <c:pt idx="0">
                  <c:v>50979</c:v>
                </c:pt>
                <c:pt idx="1">
                  <c:v>4992</c:v>
                </c:pt>
                <c:pt idx="2">
                  <c:v>33475</c:v>
                </c:pt>
                <c:pt idx="3">
                  <c:v>11526</c:v>
                </c:pt>
                <c:pt idx="4">
                  <c:v>445</c:v>
                </c:pt>
                <c:pt idx="5">
                  <c:v>2233</c:v>
                </c:pt>
              </c:numCache>
            </c:numRef>
          </c:val>
        </c:ser>
        <c:ser>
          <c:idx val="5"/>
          <c:order val="5"/>
          <c:tx>
            <c:strRef>
              <c:f>'[1]2017-2018-2019'!$A$13</c:f>
              <c:strCache>
                <c:ptCount val="1"/>
                <c:pt idx="0">
                  <c:v> Aid El Adha 2019 (4)</c:v>
                </c:pt>
              </c:strCache>
            </c:strRef>
          </c:tx>
          <c:cat>
            <c:strRef>
              <c:f>'[1]2017-2018-2019'!$B$7:$G$7</c:f>
              <c:strCache>
                <c:ptCount val="6"/>
                <c:pt idx="0">
                  <c:v> Nombre global de commerçants concernés </c:v>
                </c:pt>
                <c:pt idx="1">
                  <c:v>Nombre de boulangeries </c:v>
                </c:pt>
                <c:pt idx="2">
                  <c:v> Nombre de commerçants de l’alimentation générale, fruits et légumes</c:v>
                </c:pt>
                <c:pt idx="3">
                  <c:v>Nombre de commerçants activant dans d’autres branches d’activités</c:v>
                </c:pt>
                <c:pt idx="4">
                  <c:v>Nombre d'unités de production</c:v>
                </c:pt>
                <c:pt idx="5">
                  <c:v>Nombre d'agents de contrôle mobilisés</c:v>
                </c:pt>
              </c:strCache>
            </c:strRef>
          </c:cat>
          <c:val>
            <c:numRef>
              <c:f>'[1]2017-2018-2019'!$B$13:$G$13</c:f>
              <c:numCache>
                <c:formatCode>General</c:formatCode>
                <c:ptCount val="6"/>
                <c:pt idx="0">
                  <c:v>63990</c:v>
                </c:pt>
                <c:pt idx="1">
                  <c:v>5695</c:v>
                </c:pt>
                <c:pt idx="2">
                  <c:v>40491</c:v>
                </c:pt>
                <c:pt idx="3">
                  <c:v>20059</c:v>
                </c:pt>
                <c:pt idx="4">
                  <c:v>474</c:v>
                </c:pt>
                <c:pt idx="5">
                  <c:v>2222</c:v>
                </c:pt>
              </c:numCache>
            </c:numRef>
          </c:val>
        </c:ser>
        <c:axId val="163499392"/>
        <c:axId val="147928192"/>
      </c:barChart>
      <c:catAx>
        <c:axId val="163499392"/>
        <c:scaling>
          <c:orientation val="minMax"/>
        </c:scaling>
        <c:axPos val="b"/>
        <c:tickLblPos val="nextTo"/>
        <c:crossAx val="147928192"/>
        <c:crosses val="autoZero"/>
        <c:auto val="1"/>
        <c:lblAlgn val="ctr"/>
        <c:lblOffset val="100"/>
      </c:catAx>
      <c:valAx>
        <c:axId val="147928192"/>
        <c:scaling>
          <c:orientation val="minMax"/>
        </c:scaling>
        <c:axPos val="l"/>
        <c:majorGridlines/>
        <c:numFmt formatCode="General" sourceLinked="1"/>
        <c:tickLblPos val="nextTo"/>
        <c:crossAx val="163499392"/>
        <c:crosses val="autoZero"/>
        <c:crossBetween val="between"/>
      </c:valAx>
    </c:plotArea>
    <c:legend>
      <c:legendPos val="r"/>
      <c:legendEntry>
        <c:idx val="0"/>
        <c:delete val="1"/>
      </c:legendEntry>
    </c:legend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3</xdr:row>
      <xdr:rowOff>638175</xdr:rowOff>
    </xdr:from>
    <xdr:to>
      <xdr:col>17</xdr:col>
      <xdr:colOff>219074</xdr:colOff>
      <xdr:row>14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.139\sdsam\evolution%20permanence2017-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-2019"/>
      <sheetName val="2017-2018-2019"/>
    </sheetNames>
    <sheetDataSet>
      <sheetData sheetId="0"/>
      <sheetData sheetId="1">
        <row r="7">
          <cell r="B7" t="str">
            <v xml:space="preserve"> Nombre global de commerçants concernés </v>
          </cell>
          <cell r="C7" t="str">
            <v xml:space="preserve">Nombre de boulangeries </v>
          </cell>
          <cell r="D7" t="str">
            <v xml:space="preserve"> Nombre de commerçants de l’alimentation générale, fruits et légumes</v>
          </cell>
          <cell r="E7" t="str">
            <v>Nombre de commerçants activant dans d’autres branches d’activités</v>
          </cell>
          <cell r="F7" t="str">
            <v>Nombre d'unités de production</v>
          </cell>
          <cell r="G7" t="str">
            <v>Nombre d'agents de contrôle mobilisés</v>
          </cell>
        </row>
        <row r="9">
          <cell r="A9" t="str">
            <v xml:space="preserve"> Aid El Adha 2017 (1) </v>
          </cell>
          <cell r="B9">
            <v>34576</v>
          </cell>
          <cell r="C9">
            <v>4985</v>
          </cell>
          <cell r="D9">
            <v>20763</v>
          </cell>
          <cell r="E9">
            <v>8436</v>
          </cell>
          <cell r="F9">
            <v>392</v>
          </cell>
          <cell r="G9">
            <v>2093</v>
          </cell>
        </row>
        <row r="10">
          <cell r="A10" t="str">
            <v xml:space="preserve"> Aid El Adha 2018 (2)</v>
          </cell>
          <cell r="B10">
            <v>50806</v>
          </cell>
          <cell r="C10">
            <v>5506</v>
          </cell>
          <cell r="D10">
            <v>33013</v>
          </cell>
          <cell r="E10">
            <v>11949</v>
          </cell>
          <cell r="F10">
            <v>462</v>
          </cell>
          <cell r="G10">
            <v>2219</v>
          </cell>
        </row>
        <row r="11">
          <cell r="A11" t="str">
            <v xml:space="preserve">Evolution (2/1)   (%) </v>
          </cell>
          <cell r="B11">
            <v>46.940074039796393</v>
          </cell>
          <cell r="C11">
            <v>10.45135406218656</v>
          </cell>
          <cell r="D11">
            <v>58.999181235852241</v>
          </cell>
          <cell r="E11">
            <v>41.642958748221908</v>
          </cell>
          <cell r="F11">
            <v>17.857142857142858</v>
          </cell>
          <cell r="G11">
            <v>6.0200668896321075</v>
          </cell>
        </row>
        <row r="12">
          <cell r="A12" t="str">
            <v xml:space="preserve"> Aid El Fitr 2019 (3)</v>
          </cell>
          <cell r="B12">
            <v>50979</v>
          </cell>
          <cell r="C12">
            <v>4992</v>
          </cell>
          <cell r="D12">
            <v>33475</v>
          </cell>
          <cell r="E12">
            <v>11526</v>
          </cell>
          <cell r="F12">
            <v>445</v>
          </cell>
          <cell r="G12">
            <v>2233</v>
          </cell>
        </row>
        <row r="13">
          <cell r="A13" t="str">
            <v xml:space="preserve"> Aid El Adha 2019 (4)</v>
          </cell>
          <cell r="B13">
            <v>63990</v>
          </cell>
          <cell r="C13">
            <v>5695</v>
          </cell>
          <cell r="D13">
            <v>40491</v>
          </cell>
          <cell r="E13">
            <v>20059</v>
          </cell>
          <cell r="F13">
            <v>474</v>
          </cell>
          <cell r="G13">
            <v>2222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F15" sqref="F15"/>
    </sheetView>
  </sheetViews>
  <sheetFormatPr baseColWidth="10" defaultRowHeight="15"/>
  <cols>
    <col min="2" max="2" width="20.28515625" bestFit="1" customWidth="1"/>
    <col min="3" max="3" width="15.28515625" bestFit="1" customWidth="1"/>
    <col min="4" max="4" width="15.85546875" bestFit="1" customWidth="1"/>
    <col min="5" max="5" width="8" bestFit="1" customWidth="1"/>
  </cols>
  <sheetData>
    <row r="1" spans="1:5" ht="20.25">
      <c r="A1" s="90" t="s">
        <v>0</v>
      </c>
      <c r="B1" s="90"/>
      <c r="C1" s="90"/>
      <c r="D1" s="90"/>
      <c r="E1" s="90"/>
    </row>
    <row r="2" spans="1:5" ht="20.25">
      <c r="B2" s="86" t="s">
        <v>1</v>
      </c>
      <c r="C2" s="86"/>
      <c r="D2" s="86"/>
      <c r="E2" s="86"/>
    </row>
    <row r="3" spans="1:5" ht="20.25">
      <c r="A3" s="84" t="s">
        <v>2</v>
      </c>
      <c r="B3" s="84"/>
      <c r="C3" s="84"/>
      <c r="D3" s="84"/>
      <c r="E3" s="84"/>
    </row>
    <row r="4" spans="1:5" ht="20.25">
      <c r="A4" s="84" t="s">
        <v>3</v>
      </c>
      <c r="B4" s="84"/>
      <c r="C4" s="84"/>
      <c r="D4" s="84"/>
      <c r="E4" s="84"/>
    </row>
    <row r="5" spans="1:5" ht="17.25" customHeight="1">
      <c r="A5" s="85" t="s">
        <v>78</v>
      </c>
      <c r="B5" s="85"/>
      <c r="C5" s="85"/>
      <c r="D5" s="85"/>
      <c r="E5" s="85"/>
    </row>
    <row r="6" spans="1:5" ht="14.25" customHeight="1">
      <c r="A6" s="85"/>
      <c r="B6" s="85"/>
      <c r="C6" s="85"/>
      <c r="D6" s="85"/>
      <c r="E6" s="85"/>
    </row>
    <row r="7" spans="1:5" ht="15.75" thickBot="1"/>
    <row r="8" spans="1:5" ht="15.75" thickBot="1">
      <c r="C8" s="87"/>
      <c r="D8" s="88"/>
      <c r="E8" s="89"/>
    </row>
    <row r="9" spans="1:5" ht="16.5" thickBot="1">
      <c r="B9" s="3"/>
      <c r="C9" s="4"/>
      <c r="D9" s="4"/>
      <c r="E9" s="4"/>
    </row>
    <row r="10" spans="1:5" ht="16.5" thickBot="1">
      <c r="B10" s="5"/>
      <c r="C10" s="6"/>
      <c r="D10" s="6"/>
      <c r="E10" s="7"/>
    </row>
    <row r="11" spans="1:5" ht="16.5" thickBot="1">
      <c r="B11" s="5"/>
      <c r="C11" s="6"/>
      <c r="D11" s="6"/>
      <c r="E11" s="7"/>
    </row>
    <row r="12" spans="1:5" ht="16.5" thickBot="1">
      <c r="B12" s="5"/>
      <c r="C12" s="6"/>
      <c r="D12" s="6"/>
      <c r="E12" s="7"/>
    </row>
    <row r="13" spans="1:5" ht="16.5" thickBot="1">
      <c r="B13" s="8"/>
      <c r="C13" s="6"/>
      <c r="D13" s="6"/>
      <c r="E13" s="7"/>
    </row>
    <row r="14" spans="1:5" ht="16.5" thickBot="1">
      <c r="B14" s="8"/>
      <c r="C14" s="6"/>
      <c r="D14" s="6"/>
      <c r="E14" s="7"/>
    </row>
    <row r="15" spans="1:5" ht="16.5" thickBot="1">
      <c r="B15" s="5"/>
      <c r="C15" s="6"/>
      <c r="D15" s="6"/>
      <c r="E15" s="7"/>
    </row>
    <row r="16" spans="1:5" ht="16.5" customHeight="1" thickBot="1">
      <c r="B16" s="8"/>
      <c r="C16" s="6"/>
      <c r="D16" s="6"/>
      <c r="E16" s="7"/>
    </row>
    <row r="17" spans="2:5" ht="16.5" customHeight="1" thickBot="1">
      <c r="B17" s="5"/>
      <c r="C17" s="6"/>
      <c r="D17" s="6"/>
      <c r="E17" s="7"/>
    </row>
    <row r="18" spans="2:5" ht="16.5" customHeight="1" thickBot="1">
      <c r="B18" s="8"/>
      <c r="C18" s="6"/>
      <c r="D18" s="6"/>
      <c r="E18" s="7"/>
    </row>
    <row r="19" spans="2:5" ht="16.5" customHeight="1" thickBot="1">
      <c r="B19" s="5"/>
      <c r="C19" s="6"/>
      <c r="D19" s="6"/>
      <c r="E19" s="7"/>
    </row>
    <row r="20" spans="2:5" ht="16.5" customHeight="1" thickBot="1">
      <c r="B20" s="5"/>
      <c r="C20" s="6"/>
      <c r="D20" s="6"/>
      <c r="E20" s="7"/>
    </row>
    <row r="21" spans="2:5" ht="16.5" customHeight="1" thickBot="1">
      <c r="B21" s="5"/>
      <c r="C21" s="6"/>
      <c r="D21" s="6"/>
      <c r="E21" s="7"/>
    </row>
    <row r="22" spans="2:5" ht="16.5" thickBot="1">
      <c r="B22" s="5"/>
      <c r="C22" s="6"/>
      <c r="D22" s="6"/>
      <c r="E22" s="7"/>
    </row>
    <row r="23" spans="2:5" ht="16.5" thickBot="1">
      <c r="B23" s="5"/>
      <c r="C23" s="6"/>
      <c r="D23" s="6"/>
      <c r="E23" s="7"/>
    </row>
    <row r="24" spans="2:5" ht="16.5" thickBot="1">
      <c r="B24" s="5"/>
      <c r="C24" s="6"/>
      <c r="D24" s="6"/>
      <c r="E24" s="7"/>
    </row>
    <row r="25" spans="2:5" ht="16.5" thickBot="1">
      <c r="B25" s="5"/>
      <c r="C25" s="6"/>
      <c r="D25" s="6"/>
      <c r="E25" s="7"/>
    </row>
    <row r="26" spans="2:5" ht="16.5" thickBot="1">
      <c r="B26" s="5"/>
      <c r="C26" s="6"/>
      <c r="D26" s="6"/>
      <c r="E26" s="7"/>
    </row>
    <row r="27" spans="2:5" ht="16.5" thickBot="1">
      <c r="B27" s="5"/>
      <c r="C27" s="6"/>
      <c r="D27" s="6"/>
      <c r="E27" s="7"/>
    </row>
    <row r="28" spans="2:5" ht="16.5" thickBot="1">
      <c r="B28" s="5"/>
      <c r="C28" s="6"/>
      <c r="D28" s="6"/>
      <c r="E28" s="7"/>
    </row>
    <row r="29" spans="2:5" ht="16.5" thickBot="1">
      <c r="B29" s="5"/>
      <c r="C29" s="6"/>
      <c r="D29" s="6"/>
      <c r="E29" s="7"/>
    </row>
    <row r="30" spans="2:5" ht="16.5" thickBot="1">
      <c r="B30" s="5"/>
      <c r="C30" s="6"/>
      <c r="D30" s="6"/>
      <c r="E30" s="7"/>
    </row>
    <row r="31" spans="2:5" ht="16.5" thickBot="1">
      <c r="B31" s="9"/>
      <c r="C31" s="6"/>
      <c r="D31" s="6"/>
      <c r="E31" s="7"/>
    </row>
    <row r="32" spans="2:5" ht="16.5" thickBot="1">
      <c r="B32" s="5"/>
      <c r="C32" s="6"/>
      <c r="D32" s="6"/>
      <c r="E32" s="7"/>
    </row>
    <row r="33" spans="2:5" ht="16.5" thickBot="1">
      <c r="B33" s="5"/>
      <c r="C33" s="6"/>
      <c r="D33" s="6"/>
      <c r="E33" s="7"/>
    </row>
    <row r="34" spans="2:5" ht="16.5" thickBot="1">
      <c r="B34" s="8"/>
      <c r="C34" s="6"/>
      <c r="D34" s="6"/>
      <c r="E34" s="7"/>
    </row>
    <row r="35" spans="2:5" ht="16.5" thickBot="1">
      <c r="B35" s="9"/>
      <c r="C35" s="6"/>
      <c r="D35" s="6"/>
      <c r="E35" s="7"/>
    </row>
    <row r="36" spans="2:5" ht="16.5" thickBot="1">
      <c r="B36" s="5"/>
      <c r="C36" s="6"/>
      <c r="D36" s="6"/>
      <c r="E36" s="7"/>
    </row>
    <row r="37" spans="2:5" ht="16.5" thickBot="1">
      <c r="B37" s="9"/>
      <c r="C37" s="6"/>
      <c r="D37" s="6"/>
      <c r="E37" s="7"/>
    </row>
    <row r="38" spans="2:5" ht="16.5" thickBot="1">
      <c r="B38" s="5"/>
      <c r="C38" s="6"/>
      <c r="D38" s="6"/>
      <c r="E38" s="7"/>
    </row>
    <row r="39" spans="2:5" ht="16.5" thickBot="1">
      <c r="B39" s="5"/>
      <c r="C39" s="6"/>
      <c r="D39" s="6"/>
      <c r="E39" s="7"/>
    </row>
    <row r="40" spans="2:5" ht="16.5" thickBot="1">
      <c r="B40" s="5"/>
      <c r="C40" s="6"/>
      <c r="D40" s="6"/>
      <c r="E40" s="7"/>
    </row>
    <row r="41" spans="2:5" ht="16.5" thickBot="1">
      <c r="B41" s="5"/>
      <c r="C41" s="6"/>
      <c r="D41" s="6"/>
      <c r="E41" s="7"/>
    </row>
    <row r="42" spans="2:5" ht="16.5" thickBot="1">
      <c r="B42" s="5"/>
      <c r="C42" s="6"/>
      <c r="D42" s="6"/>
      <c r="E42" s="7"/>
    </row>
    <row r="43" spans="2:5" ht="16.5" thickBot="1">
      <c r="B43" s="5"/>
      <c r="C43" s="6"/>
      <c r="D43" s="6"/>
      <c r="E43" s="7"/>
    </row>
    <row r="44" spans="2:5" ht="16.5" thickBot="1">
      <c r="B44" s="5"/>
      <c r="C44" s="6"/>
      <c r="D44" s="6"/>
      <c r="E44" s="7"/>
    </row>
    <row r="45" spans="2:5" ht="16.5" thickBot="1">
      <c r="B45" s="9"/>
      <c r="C45" s="6"/>
      <c r="D45" s="6"/>
      <c r="E45" s="7"/>
    </row>
    <row r="46" spans="2:5" ht="14.25" customHeight="1" thickBot="1">
      <c r="B46" s="5"/>
      <c r="C46" s="6"/>
      <c r="D46" s="6"/>
      <c r="E46" s="7"/>
    </row>
    <row r="47" spans="2:5" ht="16.5" thickBot="1">
      <c r="B47" s="5"/>
      <c r="C47" s="6"/>
      <c r="D47" s="6"/>
      <c r="E47" s="7"/>
    </row>
    <row r="48" spans="2:5" ht="15" customHeight="1" thickBot="1">
      <c r="B48" s="5"/>
      <c r="C48" s="6"/>
      <c r="D48" s="6"/>
      <c r="E48" s="7"/>
    </row>
    <row r="49" spans="2:5" ht="13.5" customHeight="1" thickBot="1">
      <c r="B49" s="5"/>
      <c r="C49" s="6"/>
      <c r="D49" s="6"/>
      <c r="E49" s="7"/>
    </row>
    <row r="50" spans="2:5" ht="16.5" thickBot="1">
      <c r="B50" s="9"/>
      <c r="C50" s="6"/>
      <c r="D50" s="6"/>
      <c r="E50" s="7"/>
    </row>
    <row r="51" spans="2:5" ht="16.5" thickBot="1">
      <c r="B51" s="5"/>
      <c r="C51" s="6"/>
      <c r="D51" s="6"/>
      <c r="E51" s="7"/>
    </row>
    <row r="52" spans="2:5" ht="16.5" thickBot="1">
      <c r="B52" s="5"/>
      <c r="C52" s="6"/>
      <c r="D52" s="6"/>
      <c r="E52" s="7"/>
    </row>
    <row r="53" spans="2:5" ht="16.5" thickBot="1">
      <c r="B53" s="5"/>
      <c r="C53" s="6"/>
      <c r="D53" s="6"/>
      <c r="E53" s="7"/>
    </row>
    <row r="54" spans="2:5" ht="16.5" thickBot="1">
      <c r="B54" s="5"/>
      <c r="C54" s="6"/>
      <c r="D54" s="6"/>
      <c r="E54" s="7"/>
    </row>
    <row r="55" spans="2:5" ht="16.5" thickBot="1">
      <c r="B55" s="9"/>
      <c r="C55" s="6"/>
      <c r="D55" s="6"/>
      <c r="E55" s="7"/>
    </row>
    <row r="56" spans="2:5" ht="16.5" thickBot="1">
      <c r="B56" s="5"/>
      <c r="C56" s="6"/>
      <c r="D56" s="6"/>
      <c r="E56" s="7"/>
    </row>
    <row r="57" spans="2:5" ht="16.5" thickBot="1">
      <c r="B57" s="5"/>
      <c r="C57" s="6"/>
      <c r="D57" s="6"/>
      <c r="E57" s="7"/>
    </row>
    <row r="58" spans="2:5" ht="16.5" thickBot="1">
      <c r="B58" s="5"/>
      <c r="C58" s="6"/>
      <c r="D58" s="6"/>
      <c r="E58" s="7"/>
    </row>
  </sheetData>
  <mergeCells count="6">
    <mergeCell ref="A4:E4"/>
    <mergeCell ref="A5:E6"/>
    <mergeCell ref="B2:E2"/>
    <mergeCell ref="C8:E8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B11" sqref="B11:G11"/>
    </sheetView>
  </sheetViews>
  <sheetFormatPr baseColWidth="10" defaultRowHeight="15"/>
  <cols>
    <col min="1" max="1" width="23.140625" customWidth="1"/>
    <col min="2" max="2" width="14.85546875" customWidth="1"/>
    <col min="3" max="3" width="14.5703125" customWidth="1"/>
    <col min="4" max="4" width="17.28515625" customWidth="1"/>
    <col min="5" max="5" width="19.5703125" customWidth="1"/>
    <col min="6" max="6" width="18.5703125" customWidth="1"/>
    <col min="7" max="7" width="22.7109375" customWidth="1"/>
  </cols>
  <sheetData>
    <row r="1" spans="1:9" ht="53.25" customHeight="1"/>
    <row r="2" spans="1:9" hidden="1"/>
    <row r="3" spans="1:9" ht="61.5" customHeight="1">
      <c r="A3" s="116" t="s">
        <v>101</v>
      </c>
      <c r="B3" s="116"/>
      <c r="C3" s="116"/>
      <c r="D3" s="116"/>
      <c r="E3" s="116"/>
      <c r="F3" s="116"/>
      <c r="G3" s="116"/>
    </row>
    <row r="4" spans="1:9" ht="15" customHeight="1">
      <c r="A4" s="36"/>
      <c r="B4" s="36"/>
      <c r="C4" s="36"/>
      <c r="D4" s="36"/>
      <c r="E4" s="36"/>
      <c r="F4" s="36"/>
      <c r="G4" s="36"/>
    </row>
    <row r="6" spans="1:9">
      <c r="A6" s="117" t="s">
        <v>67</v>
      </c>
      <c r="B6" s="118" t="s">
        <v>90</v>
      </c>
      <c r="C6" s="118" t="s">
        <v>91</v>
      </c>
      <c r="D6" s="118" t="s">
        <v>70</v>
      </c>
      <c r="E6" s="118" t="s">
        <v>71</v>
      </c>
      <c r="F6" s="118" t="s">
        <v>85</v>
      </c>
      <c r="G6" s="118" t="s">
        <v>92</v>
      </c>
    </row>
    <row r="7" spans="1:9" ht="98.45" customHeight="1">
      <c r="A7" s="117"/>
      <c r="B7" s="118"/>
      <c r="C7" s="118"/>
      <c r="D7" s="118"/>
      <c r="E7" s="118"/>
      <c r="F7" s="118"/>
      <c r="G7" s="118"/>
    </row>
    <row r="8" spans="1:9" ht="29.45" hidden="1" customHeight="1">
      <c r="A8" s="37" t="s">
        <v>102</v>
      </c>
      <c r="B8" s="38">
        <v>34576</v>
      </c>
      <c r="C8" s="38">
        <v>4985</v>
      </c>
      <c r="D8" s="38">
        <v>20763</v>
      </c>
      <c r="E8" s="38">
        <v>8436</v>
      </c>
      <c r="F8" s="38">
        <v>392</v>
      </c>
      <c r="G8" s="38">
        <v>2093</v>
      </c>
    </row>
    <row r="9" spans="1:9" ht="26.45" customHeight="1">
      <c r="A9" s="37" t="s">
        <v>103</v>
      </c>
      <c r="B9" s="38">
        <v>50806</v>
      </c>
      <c r="C9" s="38">
        <v>5506</v>
      </c>
      <c r="D9" s="38">
        <v>33013</v>
      </c>
      <c r="E9" s="38">
        <v>11949</v>
      </c>
      <c r="F9" s="38">
        <v>462</v>
      </c>
      <c r="G9" s="38">
        <v>2219</v>
      </c>
    </row>
    <row r="10" spans="1:9" ht="20.45" hidden="1" customHeight="1">
      <c r="A10" s="37" t="s">
        <v>104</v>
      </c>
      <c r="B10" s="38">
        <f t="shared" ref="B10:G10" si="0">((B9-B8)/B8)*100</f>
        <v>46.940074039796393</v>
      </c>
      <c r="C10" s="38">
        <f t="shared" si="0"/>
        <v>10.45135406218656</v>
      </c>
      <c r="D10" s="38">
        <f t="shared" si="0"/>
        <v>58.999181235852241</v>
      </c>
      <c r="E10" s="38">
        <f t="shared" si="0"/>
        <v>41.642958748221908</v>
      </c>
      <c r="F10" s="38">
        <f t="shared" si="0"/>
        <v>17.857142857142858</v>
      </c>
      <c r="G10" s="38">
        <f t="shared" si="0"/>
        <v>6.0200668896321075</v>
      </c>
    </row>
    <row r="11" spans="1:9" ht="20.45" customHeight="1">
      <c r="A11" s="37" t="s">
        <v>105</v>
      </c>
      <c r="B11" s="38">
        <v>50979</v>
      </c>
      <c r="C11" s="38">
        <v>4992</v>
      </c>
      <c r="D11" s="38">
        <v>33475</v>
      </c>
      <c r="E11" s="38">
        <v>11526</v>
      </c>
      <c r="F11" s="38">
        <v>445</v>
      </c>
      <c r="G11" s="38">
        <v>2233</v>
      </c>
      <c r="I11" s="39"/>
    </row>
    <row r="12" spans="1:9" ht="18.75">
      <c r="A12" s="37" t="s">
        <v>106</v>
      </c>
      <c r="B12" s="38">
        <v>63990</v>
      </c>
      <c r="C12" s="38">
        <v>5695</v>
      </c>
      <c r="D12" s="38">
        <v>40491</v>
      </c>
      <c r="E12" s="38">
        <v>20059</v>
      </c>
      <c r="F12" s="38">
        <v>474</v>
      </c>
      <c r="G12" s="38">
        <v>2222</v>
      </c>
    </row>
    <row r="13" spans="1:9" ht="18.75">
      <c r="A13" s="37" t="s">
        <v>107</v>
      </c>
      <c r="B13" s="38">
        <f>((B12-B9)/B9)*100</f>
        <v>25.949690981380151</v>
      </c>
      <c r="C13" s="38">
        <f t="shared" ref="C13:G13" si="1">((C12-C9)/C9)*100</f>
        <v>3.4326189611333087</v>
      </c>
      <c r="D13" s="38">
        <f t="shared" si="1"/>
        <v>22.651682670463149</v>
      </c>
      <c r="E13" s="38">
        <f t="shared" si="1"/>
        <v>67.871788434178598</v>
      </c>
      <c r="F13" s="38">
        <f t="shared" si="1"/>
        <v>2.5974025974025974</v>
      </c>
      <c r="G13" s="40">
        <f t="shared" si="1"/>
        <v>0.13519603424966201</v>
      </c>
    </row>
    <row r="14" spans="1:9" ht="18.75" hidden="1">
      <c r="A14" s="37" t="s">
        <v>104</v>
      </c>
      <c r="B14" s="38">
        <f>((B12-B8)/B8)*100</f>
        <v>85.070569180934754</v>
      </c>
      <c r="C14" s="38">
        <f t="shared" ref="C14:G14" si="2">((C12-C8)/C8)*100</f>
        <v>14.242728184553661</v>
      </c>
      <c r="D14" s="38">
        <f t="shared" si="2"/>
        <v>95.01517121803208</v>
      </c>
      <c r="E14" s="38">
        <f t="shared" si="2"/>
        <v>137.77856804172595</v>
      </c>
      <c r="F14" s="38">
        <f t="shared" si="2"/>
        <v>20.918367346938776</v>
      </c>
      <c r="G14" s="38">
        <f t="shared" si="2"/>
        <v>6.1634018155757291</v>
      </c>
    </row>
    <row r="15" spans="1:9" ht="18.75">
      <c r="A15" s="37" t="s">
        <v>108</v>
      </c>
      <c r="B15" s="38">
        <f>((B12-B11)/B11)*100</f>
        <v>25.522273877478963</v>
      </c>
      <c r="C15" s="38">
        <f t="shared" ref="C15:G15" si="3">((C12-C11)/C11)*100</f>
        <v>14.082532051282051</v>
      </c>
      <c r="D15" s="38">
        <f t="shared" si="3"/>
        <v>20.958924570575054</v>
      </c>
      <c r="E15" s="38">
        <f t="shared" si="3"/>
        <v>74.032621898316847</v>
      </c>
      <c r="F15" s="38">
        <f t="shared" si="3"/>
        <v>6.5168539325842696</v>
      </c>
      <c r="G15" s="40">
        <f t="shared" si="3"/>
        <v>-0.49261083743842365</v>
      </c>
    </row>
  </sheetData>
  <mergeCells count="8">
    <mergeCell ref="A3:G3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G17"/>
  <sheetViews>
    <sheetView workbookViewId="0">
      <selection activeCell="C22" sqref="C22"/>
    </sheetView>
  </sheetViews>
  <sheetFormatPr baseColWidth="10" defaultRowHeight="15"/>
  <cols>
    <col min="2" max="2" width="16.140625" customWidth="1"/>
    <col min="3" max="3" width="15.5703125" customWidth="1"/>
    <col min="4" max="4" width="14.140625" customWidth="1"/>
    <col min="5" max="5" width="16.140625" customWidth="1"/>
    <col min="6" max="6" width="17.5703125" customWidth="1"/>
    <col min="7" max="7" width="15.28515625" customWidth="1"/>
  </cols>
  <sheetData>
    <row r="2" spans="1:7" ht="18.75">
      <c r="A2" s="123" t="s">
        <v>115</v>
      </c>
      <c r="B2" s="123"/>
      <c r="C2" s="123"/>
      <c r="D2" s="123"/>
      <c r="E2" s="123"/>
      <c r="F2" s="123"/>
      <c r="G2" s="123"/>
    </row>
    <row r="3" spans="1:7" ht="18.75">
      <c r="A3" s="41"/>
    </row>
    <row r="4" spans="1:7" ht="18.75" customHeight="1">
      <c r="A4" s="124" t="s">
        <v>109</v>
      </c>
      <c r="B4" s="124"/>
      <c r="C4" s="124"/>
      <c r="D4" s="124"/>
      <c r="E4" s="124"/>
      <c r="F4" s="124"/>
      <c r="G4" s="124"/>
    </row>
    <row r="5" spans="1:7" ht="19.5" customHeight="1" thickBot="1">
      <c r="A5" s="124"/>
      <c r="B5" s="124"/>
      <c r="C5" s="124"/>
      <c r="D5" s="124"/>
      <c r="E5" s="124"/>
      <c r="F5" s="124"/>
      <c r="G5" s="124"/>
    </row>
    <row r="6" spans="1:7" ht="15.75" thickBot="1">
      <c r="B6" s="119" t="s">
        <v>110</v>
      </c>
      <c r="C6" s="120"/>
      <c r="D6" s="121"/>
      <c r="E6" s="122" t="s">
        <v>111</v>
      </c>
      <c r="F6" s="120"/>
      <c r="G6" s="121"/>
    </row>
    <row r="7" spans="1:7" ht="57.75" thickBot="1">
      <c r="A7" s="44" t="s">
        <v>59</v>
      </c>
      <c r="B7" s="45" t="s">
        <v>112</v>
      </c>
      <c r="C7" s="45" t="s">
        <v>113</v>
      </c>
      <c r="D7" s="45" t="s">
        <v>114</v>
      </c>
      <c r="E7" s="45" t="s">
        <v>112</v>
      </c>
      <c r="F7" s="45" t="s">
        <v>113</v>
      </c>
      <c r="G7" s="45" t="s">
        <v>114</v>
      </c>
    </row>
    <row r="8" spans="1:7" ht="15.75" thickBot="1">
      <c r="A8" s="42" t="s">
        <v>25</v>
      </c>
      <c r="B8" s="46"/>
      <c r="C8" s="46"/>
      <c r="D8" s="47"/>
      <c r="E8" s="46"/>
      <c r="F8" s="46"/>
      <c r="G8" s="46"/>
    </row>
    <row r="9" spans="1:7" ht="15.75" thickBot="1">
      <c r="A9" s="42"/>
      <c r="B9" s="46"/>
      <c r="C9" s="46"/>
      <c r="D9" s="46"/>
      <c r="E9" s="46"/>
      <c r="F9" s="46"/>
      <c r="G9" s="46"/>
    </row>
    <row r="10" spans="1:7" ht="15.75" thickBot="1">
      <c r="A10" s="42"/>
      <c r="B10" s="46"/>
      <c r="C10" s="46"/>
      <c r="D10" s="46"/>
      <c r="E10" s="46"/>
      <c r="F10" s="46"/>
      <c r="G10" s="46"/>
    </row>
    <row r="11" spans="1:7" ht="15.75" thickBot="1">
      <c r="A11" s="42"/>
      <c r="B11" s="46"/>
      <c r="C11" s="46"/>
      <c r="D11" s="46"/>
      <c r="E11" s="46"/>
      <c r="F11" s="46"/>
      <c r="G11" s="46"/>
    </row>
    <row r="12" spans="1:7" ht="15.75" thickBot="1">
      <c r="A12" s="42"/>
      <c r="B12" s="46"/>
      <c r="C12" s="46"/>
      <c r="D12" s="46"/>
      <c r="E12" s="46"/>
      <c r="F12" s="46"/>
      <c r="G12" s="46"/>
    </row>
    <row r="13" spans="1:7" ht="15.75" thickBot="1">
      <c r="A13" s="42"/>
      <c r="B13" s="46"/>
      <c r="C13" s="46"/>
      <c r="D13" s="46"/>
      <c r="E13" s="46"/>
      <c r="F13" s="46"/>
      <c r="G13" s="46"/>
    </row>
    <row r="14" spans="1:7" ht="15.75" thickBot="1">
      <c r="A14" s="42"/>
      <c r="B14" s="46"/>
      <c r="C14" s="46"/>
      <c r="D14" s="46"/>
      <c r="E14" s="46"/>
      <c r="F14" s="46"/>
      <c r="G14" s="46"/>
    </row>
    <row r="15" spans="1:7" ht="15.75" thickBot="1">
      <c r="A15" s="42"/>
      <c r="B15" s="46"/>
      <c r="C15" s="46"/>
      <c r="D15" s="46"/>
      <c r="E15" s="46"/>
      <c r="F15" s="46"/>
      <c r="G15" s="46"/>
    </row>
    <row r="16" spans="1:7" ht="15.75" thickBot="1">
      <c r="A16" s="42"/>
      <c r="B16" s="46"/>
      <c r="C16" s="46"/>
      <c r="D16" s="46"/>
      <c r="E16" s="46"/>
      <c r="F16" s="46"/>
      <c r="G16" s="46"/>
    </row>
    <row r="17" spans="1:7" ht="15.75" thickBot="1">
      <c r="A17" s="43" t="s">
        <v>57</v>
      </c>
      <c r="B17" s="46"/>
      <c r="C17" s="46"/>
      <c r="D17" s="46"/>
      <c r="E17" s="46"/>
      <c r="F17" s="46"/>
      <c r="G17" s="46"/>
    </row>
  </sheetData>
  <mergeCells count="4">
    <mergeCell ref="B6:D6"/>
    <mergeCell ref="E6:G6"/>
    <mergeCell ref="A2:G2"/>
    <mergeCell ref="A4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5:L11"/>
  <sheetViews>
    <sheetView workbookViewId="0">
      <selection activeCell="L15" sqref="L15"/>
    </sheetView>
  </sheetViews>
  <sheetFormatPr baseColWidth="10" defaultRowHeight="15"/>
  <sheetData>
    <row r="5" spans="2:12">
      <c r="B5" s="49">
        <v>612</v>
      </c>
      <c r="C5" s="50"/>
      <c r="D5" s="50">
        <v>96</v>
      </c>
      <c r="E5" s="50"/>
      <c r="F5" s="50">
        <v>206</v>
      </c>
      <c r="G5" s="50"/>
      <c r="H5" s="50">
        <v>301</v>
      </c>
      <c r="I5" s="50"/>
      <c r="J5" s="51">
        <f>2+7+0</f>
        <v>9</v>
      </c>
      <c r="L5">
        <f>J5+H5+F5+D5</f>
        <v>612</v>
      </c>
    </row>
    <row r="6" spans="2:12">
      <c r="B6" s="52">
        <v>399</v>
      </c>
      <c r="C6" s="53"/>
      <c r="D6" s="53">
        <v>63</v>
      </c>
      <c r="E6" s="53"/>
      <c r="F6" s="53">
        <v>310</v>
      </c>
      <c r="G6" s="53"/>
      <c r="H6" s="53">
        <v>18</v>
      </c>
      <c r="I6" s="53"/>
      <c r="J6" s="54">
        <f>4+2+2</f>
        <v>8</v>
      </c>
      <c r="L6">
        <f t="shared" ref="L6:L11" si="0">J6+H6+F6+D6</f>
        <v>399</v>
      </c>
    </row>
    <row r="7" spans="2:12">
      <c r="B7" s="52">
        <v>351</v>
      </c>
      <c r="C7" s="53"/>
      <c r="D7" s="53">
        <v>75</v>
      </c>
      <c r="E7" s="53"/>
      <c r="F7" s="53">
        <v>137</v>
      </c>
      <c r="G7" s="53"/>
      <c r="H7" s="53">
        <v>128</v>
      </c>
      <c r="I7" s="53"/>
      <c r="J7" s="54">
        <f>2+9</f>
        <v>11</v>
      </c>
      <c r="L7">
        <f t="shared" si="0"/>
        <v>351</v>
      </c>
    </row>
    <row r="8" spans="2:12">
      <c r="B8" s="52">
        <v>128</v>
      </c>
      <c r="C8" s="53"/>
      <c r="D8" s="58">
        <v>16</v>
      </c>
      <c r="E8" s="53"/>
      <c r="F8" s="58">
        <v>87</v>
      </c>
      <c r="G8" s="53"/>
      <c r="H8" s="58">
        <v>25</v>
      </c>
      <c r="I8" s="53"/>
      <c r="J8" s="54"/>
      <c r="L8">
        <f t="shared" si="0"/>
        <v>128</v>
      </c>
    </row>
    <row r="9" spans="2:12">
      <c r="B9" s="52">
        <v>430</v>
      </c>
      <c r="C9" s="53"/>
      <c r="D9" s="58">
        <v>50</v>
      </c>
      <c r="E9" s="53"/>
      <c r="F9" s="58">
        <v>338</v>
      </c>
      <c r="G9" s="53"/>
      <c r="H9" s="58">
        <v>37</v>
      </c>
      <c r="I9" s="53"/>
      <c r="J9" s="54">
        <f>1+3+1</f>
        <v>5</v>
      </c>
      <c r="L9">
        <f t="shared" si="0"/>
        <v>430</v>
      </c>
    </row>
    <row r="10" spans="2:12">
      <c r="B10" s="55">
        <v>248</v>
      </c>
      <c r="C10" s="56"/>
      <c r="D10" s="56">
        <v>39</v>
      </c>
      <c r="E10" s="56"/>
      <c r="F10" s="56">
        <v>186</v>
      </c>
      <c r="G10" s="56"/>
      <c r="H10" s="56">
        <v>20</v>
      </c>
      <c r="I10" s="56"/>
      <c r="J10" s="57">
        <f>2+1</f>
        <v>3</v>
      </c>
      <c r="L10">
        <f t="shared" si="0"/>
        <v>248</v>
      </c>
    </row>
    <row r="11" spans="2:12">
      <c r="B11" s="48">
        <f>SUM(B5:B10)</f>
        <v>2168</v>
      </c>
      <c r="C11" s="48">
        <f t="shared" ref="C11:J11" si="1">SUM(C5:C10)</f>
        <v>0</v>
      </c>
      <c r="D11" s="48">
        <f t="shared" si="1"/>
        <v>339</v>
      </c>
      <c r="E11" s="48">
        <f t="shared" si="1"/>
        <v>0</v>
      </c>
      <c r="F11" s="48">
        <f t="shared" si="1"/>
        <v>1264</v>
      </c>
      <c r="G11" s="48">
        <f t="shared" si="1"/>
        <v>0</v>
      </c>
      <c r="H11" s="48">
        <f t="shared" si="1"/>
        <v>529</v>
      </c>
      <c r="I11" s="48">
        <f t="shared" si="1"/>
        <v>0</v>
      </c>
      <c r="J11" s="48">
        <f t="shared" si="1"/>
        <v>36</v>
      </c>
      <c r="L11">
        <f t="shared" si="0"/>
        <v>2168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G8" sqref="G8:I8"/>
    </sheetView>
  </sheetViews>
  <sheetFormatPr baseColWidth="10" defaultRowHeight="15"/>
  <cols>
    <col min="2" max="2" width="10" bestFit="1" customWidth="1"/>
    <col min="3" max="3" width="20.28515625" bestFit="1" customWidth="1"/>
    <col min="4" max="4" width="15.28515625" customWidth="1"/>
    <col min="5" max="5" width="15.85546875" customWidth="1"/>
    <col min="6" max="6" width="8" customWidth="1"/>
    <col min="7" max="7" width="15.28515625" bestFit="1" customWidth="1"/>
    <col min="8" max="8" width="15.85546875" bestFit="1" customWidth="1"/>
    <col min="9" max="9" width="8" bestFit="1" customWidth="1"/>
  </cols>
  <sheetData>
    <row r="1" spans="1:9" ht="20.25">
      <c r="B1" s="86" t="s">
        <v>0</v>
      </c>
      <c r="C1" s="86"/>
      <c r="D1" s="86"/>
      <c r="E1" s="86"/>
      <c r="F1" s="86"/>
      <c r="G1" s="86"/>
      <c r="H1" s="86"/>
      <c r="I1" s="86"/>
    </row>
    <row r="2" spans="1:9" ht="20.25">
      <c r="B2" s="1"/>
      <c r="C2" s="86" t="s">
        <v>1</v>
      </c>
      <c r="D2" s="86"/>
      <c r="E2" s="86"/>
      <c r="F2" s="86"/>
      <c r="G2" s="86"/>
      <c r="H2" s="86"/>
      <c r="I2" s="86"/>
    </row>
    <row r="3" spans="1:9" ht="20.25">
      <c r="B3" s="84" t="s">
        <v>2</v>
      </c>
      <c r="C3" s="84"/>
      <c r="D3" s="84"/>
      <c r="E3" s="84"/>
      <c r="F3" s="84"/>
      <c r="G3" s="84"/>
      <c r="H3" s="84"/>
      <c r="I3" s="84"/>
    </row>
    <row r="4" spans="1:9" ht="20.25">
      <c r="B4" s="84" t="s">
        <v>3</v>
      </c>
      <c r="C4" s="84"/>
      <c r="D4" s="84"/>
      <c r="E4" s="84"/>
      <c r="F4" s="84"/>
      <c r="G4" s="84"/>
      <c r="H4" s="84"/>
      <c r="I4" s="84"/>
    </row>
    <row r="5" spans="1:9" ht="17.25" customHeight="1">
      <c r="B5" s="2"/>
      <c r="C5" s="2"/>
      <c r="D5" s="2"/>
      <c r="E5" s="2"/>
      <c r="F5" s="2"/>
      <c r="G5" s="2"/>
      <c r="H5" s="2"/>
      <c r="I5" s="2"/>
    </row>
    <row r="6" spans="1:9" ht="14.25" customHeight="1">
      <c r="A6" s="94" t="s">
        <v>78</v>
      </c>
      <c r="B6" s="94"/>
      <c r="C6" s="94"/>
      <c r="D6" s="94"/>
      <c r="E6" s="94"/>
      <c r="F6" s="94"/>
      <c r="G6" s="94"/>
      <c r="H6" s="94"/>
      <c r="I6" s="94"/>
    </row>
    <row r="7" spans="1:9" ht="15.75" thickBot="1"/>
    <row r="8" spans="1:9" ht="15.75" thickBot="1">
      <c r="D8" s="87" t="s">
        <v>58</v>
      </c>
      <c r="E8" s="88"/>
      <c r="F8" s="89"/>
      <c r="G8" s="87" t="s">
        <v>4</v>
      </c>
      <c r="H8" s="88"/>
      <c r="I8" s="89"/>
    </row>
    <row r="9" spans="1:9" ht="43.5" thickBot="1">
      <c r="B9" s="3" t="s">
        <v>59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6</v>
      </c>
      <c r="H9" s="4" t="s">
        <v>7</v>
      </c>
      <c r="I9" s="4" t="s">
        <v>8</v>
      </c>
    </row>
    <row r="10" spans="1:9" ht="16.5" thickBot="1">
      <c r="B10" s="95" t="s">
        <v>49</v>
      </c>
      <c r="C10" s="9" t="s">
        <v>36</v>
      </c>
      <c r="D10" s="6">
        <f>209+9426+240+8+23</f>
        <v>9906</v>
      </c>
      <c r="E10" s="6">
        <v>685</v>
      </c>
      <c r="F10" s="7">
        <f>E10/D10</f>
        <v>6.9150010094891981E-2</v>
      </c>
      <c r="G10" s="6">
        <f>392+4110+899+8+23</f>
        <v>5432</v>
      </c>
      <c r="H10" s="6">
        <f>102+463+215+6+10</f>
        <v>796</v>
      </c>
      <c r="I10" s="7">
        <f>H10/G10</f>
        <v>0.14653902798232696</v>
      </c>
    </row>
    <row r="11" spans="1:9" ht="16.5" thickBot="1">
      <c r="B11" s="95"/>
      <c r="C11" s="9" t="s">
        <v>30</v>
      </c>
      <c r="D11" s="6">
        <f>438+3587+4510+4+3</f>
        <v>8542</v>
      </c>
      <c r="E11" s="6">
        <v>1551</v>
      </c>
      <c r="F11" s="7">
        <f t="shared" ref="F11:F67" si="0">E11/D11</f>
        <v>0.18157340201357997</v>
      </c>
      <c r="G11" s="6">
        <f>433+3601+675+4+3</f>
        <v>4716</v>
      </c>
      <c r="H11" s="6">
        <f>216+505+197+4+3</f>
        <v>925</v>
      </c>
      <c r="I11" s="7">
        <f t="shared" ref="I11:I67" si="1">H11/G11</f>
        <v>0.19614079728583544</v>
      </c>
    </row>
    <row r="12" spans="1:9" ht="16.5" thickBot="1">
      <c r="B12" s="95"/>
      <c r="C12" s="9" t="s">
        <v>44</v>
      </c>
      <c r="D12" s="6">
        <f>266+3522+783+33+86</f>
        <v>4690</v>
      </c>
      <c r="E12" s="6">
        <v>456</v>
      </c>
      <c r="F12" s="7">
        <f t="shared" si="0"/>
        <v>9.7228144989339016E-2</v>
      </c>
      <c r="G12" s="6">
        <f>316+3295+592+33+86</f>
        <v>4322</v>
      </c>
      <c r="H12" s="6">
        <f>107+382+103+4+7</f>
        <v>603</v>
      </c>
      <c r="I12" s="7">
        <f t="shared" si="1"/>
        <v>0.13951874132346137</v>
      </c>
    </row>
    <row r="13" spans="1:9" ht="16.5" thickBot="1">
      <c r="B13" s="95"/>
      <c r="C13" s="9" t="s">
        <v>49</v>
      </c>
      <c r="D13" s="6">
        <f>427+1871+599+2+3+2</f>
        <v>2904</v>
      </c>
      <c r="E13" s="6">
        <v>298</v>
      </c>
      <c r="F13" s="7">
        <f t="shared" si="0"/>
        <v>0.10261707988980716</v>
      </c>
      <c r="G13" s="6">
        <f>386+1781+461+7+6+6</f>
        <v>2647</v>
      </c>
      <c r="H13" s="6">
        <f>46+387+41+1+3+2</f>
        <v>480</v>
      </c>
      <c r="I13" s="7">
        <f t="shared" si="1"/>
        <v>0.18133736305251227</v>
      </c>
    </row>
    <row r="14" spans="1:9" ht="16.5" thickBot="1">
      <c r="B14" s="95"/>
      <c r="C14" s="9" t="s">
        <v>34</v>
      </c>
      <c r="D14" s="6">
        <f>777+4792+2413+2+6+1</f>
        <v>7991</v>
      </c>
      <c r="E14" s="6">
        <v>822</v>
      </c>
      <c r="F14" s="7">
        <f t="shared" si="0"/>
        <v>0.10286572393943186</v>
      </c>
      <c r="G14" s="6">
        <f>730+5918+649+2+3+1</f>
        <v>7303</v>
      </c>
      <c r="H14" s="6">
        <f>129+479+260+2+3+1</f>
        <v>874</v>
      </c>
      <c r="I14" s="7">
        <f t="shared" si="1"/>
        <v>0.11967684513213747</v>
      </c>
    </row>
    <row r="15" spans="1:9" ht="16.5" thickBot="1">
      <c r="B15" s="95"/>
      <c r="C15" s="9" t="s">
        <v>54</v>
      </c>
      <c r="D15" s="6">
        <f>138+1250+200+1+1</f>
        <v>1590</v>
      </c>
      <c r="E15" s="6">
        <v>152</v>
      </c>
      <c r="F15" s="7">
        <f t="shared" si="0"/>
        <v>9.5597484276729566E-2</v>
      </c>
      <c r="G15" s="6">
        <f>141+1133+239+1+1+2</f>
        <v>1517</v>
      </c>
      <c r="H15" s="6">
        <f>34+98+47+1+1</f>
        <v>181</v>
      </c>
      <c r="I15" s="7">
        <f t="shared" si="1"/>
        <v>0.11931443638760712</v>
      </c>
    </row>
    <row r="16" spans="1:9" ht="16.5" thickBot="1">
      <c r="B16" s="95"/>
      <c r="C16" s="10" t="s">
        <v>60</v>
      </c>
      <c r="D16" s="11">
        <f>SUM(D10:D15)</f>
        <v>35623</v>
      </c>
      <c r="E16" s="11">
        <f>SUM(E10:E15)</f>
        <v>3964</v>
      </c>
      <c r="F16" s="12">
        <f t="shared" si="0"/>
        <v>0.11127642253600202</v>
      </c>
      <c r="G16" s="11">
        <f>SUM(G10:G15)</f>
        <v>25937</v>
      </c>
      <c r="H16" s="11">
        <f>SUM(H10:H15)</f>
        <v>3859</v>
      </c>
      <c r="I16" s="12">
        <f t="shared" si="1"/>
        <v>0.14878359100898331</v>
      </c>
    </row>
    <row r="17" spans="2:9" ht="16.5" thickBot="1">
      <c r="B17" s="96" t="s">
        <v>46</v>
      </c>
      <c r="C17" s="5" t="s">
        <v>46</v>
      </c>
      <c r="D17" s="6">
        <f>124+442+628+2+7</f>
        <v>1203</v>
      </c>
      <c r="E17" s="6">
        <v>529</v>
      </c>
      <c r="F17" s="7">
        <f t="shared" si="0"/>
        <v>0.43973399833748961</v>
      </c>
      <c r="G17" s="6">
        <f>150+782+649+2+7</f>
        <v>1590</v>
      </c>
      <c r="H17" s="6">
        <f>101+262+214+2+5</f>
        <v>584</v>
      </c>
      <c r="I17" s="7">
        <f t="shared" si="1"/>
        <v>0.3672955974842767</v>
      </c>
    </row>
    <row r="18" spans="2:9" ht="16.5" thickBot="1">
      <c r="B18" s="96"/>
      <c r="C18" s="5" t="s">
        <v>47</v>
      </c>
      <c r="D18" s="6">
        <f>112+736+470+9+3+1</f>
        <v>1331</v>
      </c>
      <c r="E18" s="6">
        <v>533</v>
      </c>
      <c r="F18" s="7">
        <f t="shared" si="0"/>
        <v>0.40045078888054092</v>
      </c>
      <c r="G18" s="6">
        <f>112+744+220+9+3+1</f>
        <v>1089</v>
      </c>
      <c r="H18" s="6">
        <f>56+413+62+3+1+1</f>
        <v>536</v>
      </c>
      <c r="I18" s="7">
        <f t="shared" si="1"/>
        <v>0.49219467401285583</v>
      </c>
    </row>
    <row r="19" spans="2:9" ht="16.5" thickBot="1">
      <c r="B19" s="96"/>
      <c r="C19" s="5" t="s">
        <v>42</v>
      </c>
      <c r="D19" s="6">
        <f>160+550+310+2+19</f>
        <v>1041</v>
      </c>
      <c r="E19" s="6">
        <v>280</v>
      </c>
      <c r="F19" s="7">
        <f t="shared" si="0"/>
        <v>0.26897214217098941</v>
      </c>
      <c r="G19" s="6">
        <f>160+550+310+2+19</f>
        <v>1041</v>
      </c>
      <c r="H19" s="6">
        <f>78+314+212+2+9</f>
        <v>615</v>
      </c>
      <c r="I19" s="7">
        <f t="shared" si="1"/>
        <v>0.59077809798270897</v>
      </c>
    </row>
    <row r="20" spans="2:9" ht="16.5" thickBot="1">
      <c r="B20" s="96"/>
      <c r="C20" s="5" t="s">
        <v>55</v>
      </c>
      <c r="D20" s="6">
        <f>17+165+110</f>
        <v>292</v>
      </c>
      <c r="E20" s="6">
        <v>80</v>
      </c>
      <c r="F20" s="7">
        <f t="shared" si="0"/>
        <v>0.27397260273972601</v>
      </c>
      <c r="G20" s="6">
        <f>17+165+110</f>
        <v>292</v>
      </c>
      <c r="H20" s="6">
        <f>16+83+37</f>
        <v>136</v>
      </c>
      <c r="I20" s="7">
        <f t="shared" si="1"/>
        <v>0.46575342465753422</v>
      </c>
    </row>
    <row r="21" spans="2:9" ht="16.5" thickBot="1">
      <c r="B21" s="96"/>
      <c r="C21" s="5" t="s">
        <v>53</v>
      </c>
      <c r="D21" s="6">
        <f>68+248+197+2+1</f>
        <v>516</v>
      </c>
      <c r="E21" s="6">
        <v>175</v>
      </c>
      <c r="F21" s="7">
        <f t="shared" si="0"/>
        <v>0.33914728682170542</v>
      </c>
      <c r="G21" s="6">
        <f>38+248+120+2+1</f>
        <v>409</v>
      </c>
      <c r="H21" s="6">
        <f>22+143+66+2+1</f>
        <v>234</v>
      </c>
      <c r="I21" s="7">
        <f t="shared" si="1"/>
        <v>0.57212713936430315</v>
      </c>
    </row>
    <row r="22" spans="2:9" ht="16.5" thickBot="1">
      <c r="B22" s="96"/>
      <c r="C22" s="5" t="s">
        <v>45</v>
      </c>
      <c r="D22" s="6">
        <f>80+680+238+3</f>
        <v>1001</v>
      </c>
      <c r="E22" s="6">
        <v>456</v>
      </c>
      <c r="F22" s="7">
        <f t="shared" si="0"/>
        <v>0.45554445554445555</v>
      </c>
      <c r="G22" s="6">
        <f>80+680+238+3</f>
        <v>1001</v>
      </c>
      <c r="H22" s="6">
        <f>50+475+74+1</f>
        <v>600</v>
      </c>
      <c r="I22" s="7">
        <f t="shared" si="1"/>
        <v>0.59940059940059942</v>
      </c>
    </row>
    <row r="23" spans="2:9" ht="16.5" thickBot="1">
      <c r="B23" s="96"/>
      <c r="C23" s="10" t="s">
        <v>60</v>
      </c>
      <c r="D23" s="11">
        <f>SUM(D17:D22)</f>
        <v>5384</v>
      </c>
      <c r="E23" s="11">
        <f>SUM(E17:E22)</f>
        <v>2053</v>
      </c>
      <c r="F23" s="12">
        <f t="shared" si="0"/>
        <v>0.38131500742942048</v>
      </c>
      <c r="G23" s="11">
        <f>SUM(G17:G22)</f>
        <v>5422</v>
      </c>
      <c r="H23" s="11">
        <f>SUM(H17:H22)</f>
        <v>2705</v>
      </c>
      <c r="I23" s="12">
        <f t="shared" si="1"/>
        <v>0.49889339727037996</v>
      </c>
    </row>
    <row r="24" spans="2:9" ht="16.5" thickBot="1">
      <c r="B24" s="91" t="s">
        <v>9</v>
      </c>
      <c r="C24" s="5" t="s">
        <v>9</v>
      </c>
      <c r="D24" s="6">
        <v>7666</v>
      </c>
      <c r="E24" s="6">
        <v>4105</v>
      </c>
      <c r="F24" s="7">
        <f t="shared" si="0"/>
        <v>0.53548134620401777</v>
      </c>
      <c r="G24" s="6">
        <f>646+3915+3737+10+9</f>
        <v>8317</v>
      </c>
      <c r="H24" s="6">
        <f>612+3622+3286+10+5</f>
        <v>7535</v>
      </c>
      <c r="I24" s="7">
        <f t="shared" si="1"/>
        <v>0.90597571239629671</v>
      </c>
    </row>
    <row r="25" spans="2:9" ht="16.5" thickBot="1">
      <c r="B25" s="91"/>
      <c r="C25" s="5" t="s">
        <v>19</v>
      </c>
      <c r="D25" s="6">
        <v>6114</v>
      </c>
      <c r="E25" s="6">
        <v>1509</v>
      </c>
      <c r="F25" s="7">
        <f t="shared" si="0"/>
        <v>0.24681059862610402</v>
      </c>
      <c r="G25" s="6">
        <f>384+3165+2510+5+10</f>
        <v>6074</v>
      </c>
      <c r="H25" s="6">
        <f>178+989+466+5+9</f>
        <v>1647</v>
      </c>
      <c r="I25" s="7">
        <f t="shared" si="1"/>
        <v>0.27115574580177809</v>
      </c>
    </row>
    <row r="26" spans="2:9" ht="16.5" thickBot="1">
      <c r="B26" s="91"/>
      <c r="C26" s="5" t="s">
        <v>27</v>
      </c>
      <c r="D26" s="6">
        <v>3539</v>
      </c>
      <c r="E26" s="6">
        <v>1722</v>
      </c>
      <c r="F26" s="7">
        <f t="shared" si="0"/>
        <v>0.48657812941508899</v>
      </c>
      <c r="G26" s="6">
        <f>122+1015+589+2+2</f>
        <v>1730</v>
      </c>
      <c r="H26" s="6">
        <f>103+668+305+2+2</f>
        <v>1080</v>
      </c>
      <c r="I26" s="7">
        <f t="shared" si="1"/>
        <v>0.62427745664739887</v>
      </c>
    </row>
    <row r="27" spans="2:9" ht="16.5" thickBot="1">
      <c r="B27" s="91"/>
      <c r="C27" s="10" t="s">
        <v>60</v>
      </c>
      <c r="D27" s="11">
        <f>SUM(D24:D26)</f>
        <v>17319</v>
      </c>
      <c r="E27" s="11">
        <f>SUM(E24:E26)</f>
        <v>7336</v>
      </c>
      <c r="F27" s="12">
        <f t="shared" si="0"/>
        <v>0.42358103816617587</v>
      </c>
      <c r="G27" s="11">
        <f>SUM(G24:G26)</f>
        <v>16121</v>
      </c>
      <c r="H27" s="11">
        <f>SUM(H24:H26)</f>
        <v>10262</v>
      </c>
      <c r="I27" s="12">
        <f t="shared" si="1"/>
        <v>0.63656100738167609</v>
      </c>
    </row>
    <row r="28" spans="2:9" ht="16.5" thickBot="1">
      <c r="B28" s="91" t="s">
        <v>61</v>
      </c>
      <c r="C28" s="5" t="s">
        <v>25</v>
      </c>
      <c r="D28" s="6">
        <f>172+3897+1027+4+8</f>
        <v>5108</v>
      </c>
      <c r="E28" s="6">
        <v>348</v>
      </c>
      <c r="F28" s="7">
        <f t="shared" si="0"/>
        <v>6.8128425998433828E-2</v>
      </c>
      <c r="G28" s="6">
        <f>427+3897+2723+5+8</f>
        <v>7060</v>
      </c>
      <c r="H28" s="6">
        <f>109+601+481+4+5</f>
        <v>1200</v>
      </c>
      <c r="I28" s="7">
        <f t="shared" si="1"/>
        <v>0.16997167138810199</v>
      </c>
    </row>
    <row r="29" spans="2:9" ht="16.5" thickBot="1">
      <c r="B29" s="91"/>
      <c r="C29" s="5" t="s">
        <v>22</v>
      </c>
      <c r="D29" s="6">
        <f>455+6460+4528+3+8+1</f>
        <v>11455</v>
      </c>
      <c r="E29" s="6">
        <v>836</v>
      </c>
      <c r="F29" s="7">
        <f t="shared" si="0"/>
        <v>7.2981230903535574E-2</v>
      </c>
      <c r="G29" s="6">
        <f>476+6460+4528+3+8+1</f>
        <v>11476</v>
      </c>
      <c r="H29" s="6">
        <f>147+571+810+3+7+1</f>
        <v>1539</v>
      </c>
      <c r="I29" s="7">
        <f t="shared" si="1"/>
        <v>0.13410596026490065</v>
      </c>
    </row>
    <row r="30" spans="2:9" ht="16.5" thickBot="1">
      <c r="B30" s="91"/>
      <c r="C30" s="5" t="s">
        <v>28</v>
      </c>
      <c r="D30" s="6">
        <f>134+3070+141+3+18+2</f>
        <v>3368</v>
      </c>
      <c r="E30" s="6">
        <v>845</v>
      </c>
      <c r="F30" s="7">
        <f t="shared" si="0"/>
        <v>0.25089073634204273</v>
      </c>
      <c r="G30" s="6">
        <f>171+3070+141+3+18+2</f>
        <v>3405</v>
      </c>
      <c r="H30" s="6">
        <f>101+828+33+3+7+2</f>
        <v>974</v>
      </c>
      <c r="I30" s="7">
        <f t="shared" si="1"/>
        <v>0.28604992657856093</v>
      </c>
    </row>
    <row r="31" spans="2:9" ht="16.5" thickBot="1">
      <c r="B31" s="91"/>
      <c r="C31" s="5" t="s">
        <v>24</v>
      </c>
      <c r="D31" s="6">
        <f>233+2872+955+1+2+2</f>
        <v>4065</v>
      </c>
      <c r="E31" s="6">
        <v>513</v>
      </c>
      <c r="F31" s="7">
        <f t="shared" si="0"/>
        <v>0.12619926199261994</v>
      </c>
      <c r="G31" s="6">
        <f>116+2872+955+2+7+2</f>
        <v>3954</v>
      </c>
      <c r="H31" s="6">
        <f>74+950+350+2+6+2</f>
        <v>1384</v>
      </c>
      <c r="I31" s="7">
        <f t="shared" si="1"/>
        <v>0.35002529084471423</v>
      </c>
    </row>
    <row r="32" spans="2:9" ht="16.5" thickBot="1">
      <c r="B32" s="91"/>
      <c r="C32" s="5" t="s">
        <v>31</v>
      </c>
      <c r="D32" s="6">
        <f>206+6186+125+26</f>
        <v>6543</v>
      </c>
      <c r="E32" s="6">
        <v>522</v>
      </c>
      <c r="F32" s="7">
        <f t="shared" si="0"/>
        <v>7.9779917469050887E-2</v>
      </c>
      <c r="G32" s="6">
        <f>206+6186+125+26+4</f>
        <v>6547</v>
      </c>
      <c r="H32" s="6">
        <f>75+718+120+2+3</f>
        <v>918</v>
      </c>
      <c r="I32" s="7">
        <f t="shared" si="1"/>
        <v>0.14021689323354208</v>
      </c>
    </row>
    <row r="33" spans="2:9" ht="16.5" thickBot="1">
      <c r="B33" s="91"/>
      <c r="C33" s="10" t="s">
        <v>60</v>
      </c>
      <c r="D33" s="11">
        <f>SUM(D28:D32)</f>
        <v>30539</v>
      </c>
      <c r="E33" s="11">
        <f>SUM(E28:E32)</f>
        <v>3064</v>
      </c>
      <c r="F33" s="12">
        <f t="shared" si="0"/>
        <v>0.10033072464717246</v>
      </c>
      <c r="G33" s="11">
        <f>SUM(G28:G32)</f>
        <v>32442</v>
      </c>
      <c r="H33" s="11">
        <f>SUM(H28:H32)</f>
        <v>6015</v>
      </c>
      <c r="I33" s="12">
        <f t="shared" si="1"/>
        <v>0.1854078046976142</v>
      </c>
    </row>
    <row r="34" spans="2:9" ht="16.5" thickBot="1">
      <c r="B34" s="91" t="s">
        <v>62</v>
      </c>
      <c r="C34" s="5" t="s">
        <v>41</v>
      </c>
      <c r="D34" s="6">
        <f>470+5230+3750+22+45+28</f>
        <v>9545</v>
      </c>
      <c r="E34" s="6">
        <v>577</v>
      </c>
      <c r="F34" s="7">
        <f t="shared" si="0"/>
        <v>6.0450497642744891E-2</v>
      </c>
      <c r="G34" s="6">
        <f>494+5251+3750+22+45+28</f>
        <v>9590</v>
      </c>
      <c r="H34" s="6">
        <f>102+360+198+2+5+1</f>
        <v>668</v>
      </c>
      <c r="I34" s="7">
        <f t="shared" si="1"/>
        <v>6.9655891553701776E-2</v>
      </c>
    </row>
    <row r="35" spans="2:9" ht="16.5" thickBot="1">
      <c r="B35" s="91"/>
      <c r="C35" s="5" t="s">
        <v>43</v>
      </c>
      <c r="D35" s="6">
        <f>251+6039+1083+2+11+5</f>
        <v>7391</v>
      </c>
      <c r="E35" s="6">
        <v>371</v>
      </c>
      <c r="F35" s="7">
        <f t="shared" si="0"/>
        <v>5.0196184548775537E-2</v>
      </c>
      <c r="G35" s="6">
        <f>270+6039+1083+2+11+5</f>
        <v>7410</v>
      </c>
      <c r="H35" s="6">
        <f>129+381+92+2+7+4</f>
        <v>615</v>
      </c>
      <c r="I35" s="7">
        <f t="shared" si="1"/>
        <v>8.2995951417004055E-2</v>
      </c>
    </row>
    <row r="36" spans="2:9" ht="16.5" thickBot="1">
      <c r="B36" s="91"/>
      <c r="C36" s="5" t="s">
        <v>37</v>
      </c>
      <c r="D36" s="6">
        <f>358+2970+2877+8+5</f>
        <v>6218</v>
      </c>
      <c r="E36" s="6">
        <v>685</v>
      </c>
      <c r="F36" s="7">
        <f t="shared" si="0"/>
        <v>0.11016403988420714</v>
      </c>
      <c r="G36" s="6">
        <f>335+2970+2877+8+5+1</f>
        <v>6196</v>
      </c>
      <c r="H36" s="6">
        <f>104+442+232+7+5+1</f>
        <v>791</v>
      </c>
      <c r="I36" s="7">
        <f t="shared" si="1"/>
        <v>0.1276630083925113</v>
      </c>
    </row>
    <row r="37" spans="2:9" ht="16.5" thickBot="1">
      <c r="B37" s="91"/>
      <c r="C37" s="5" t="s">
        <v>40</v>
      </c>
      <c r="D37" s="6">
        <f>260+2830+1154+19+21+15</f>
        <v>4299</v>
      </c>
      <c r="E37" s="6">
        <v>619</v>
      </c>
      <c r="F37" s="7">
        <f t="shared" si="0"/>
        <v>0.14398697371481739</v>
      </c>
      <c r="G37" s="6">
        <f>207+2830+1154+19+21+15</f>
        <v>4246</v>
      </c>
      <c r="H37" s="6">
        <f>70+440+161+2+5</f>
        <v>678</v>
      </c>
      <c r="I37" s="7">
        <f t="shared" si="1"/>
        <v>0.15967969853980216</v>
      </c>
    </row>
    <row r="38" spans="2:9" ht="16.5" thickBot="1">
      <c r="B38" s="91"/>
      <c r="C38" s="5" t="s">
        <v>29</v>
      </c>
      <c r="D38" s="6">
        <f>285+3273+1607+2+34+3</f>
        <v>5204</v>
      </c>
      <c r="E38" s="6">
        <v>756</v>
      </c>
      <c r="F38" s="7">
        <f t="shared" si="0"/>
        <v>0.1452728670253651</v>
      </c>
      <c r="G38" s="6">
        <f>299+3273+1607+1+13+3</f>
        <v>5196</v>
      </c>
      <c r="H38" s="6">
        <f>130+507+276+1+12+1</f>
        <v>927</v>
      </c>
      <c r="I38" s="7">
        <f t="shared" si="1"/>
        <v>0.17840646651270209</v>
      </c>
    </row>
    <row r="39" spans="2:9" ht="16.5" thickBot="1">
      <c r="B39" s="91"/>
      <c r="C39" s="5" t="s">
        <v>14</v>
      </c>
      <c r="D39" s="6">
        <f>739+5193+2518+5+7</f>
        <v>8462</v>
      </c>
      <c r="E39" s="6">
        <v>2104</v>
      </c>
      <c r="F39" s="7">
        <f t="shared" si="0"/>
        <v>0.24864098321909714</v>
      </c>
      <c r="G39" s="6">
        <f>707+5193+2518+5+7</f>
        <v>8430</v>
      </c>
      <c r="H39" s="6">
        <f>176+1266+1209+4+6</f>
        <v>2661</v>
      </c>
      <c r="I39" s="7">
        <f t="shared" si="1"/>
        <v>0.31565836298932387</v>
      </c>
    </row>
    <row r="40" spans="2:9" ht="16.5" thickBot="1">
      <c r="B40" s="91"/>
      <c r="C40" s="10" t="s">
        <v>60</v>
      </c>
      <c r="D40" s="11">
        <f>SUM(D34:D39)</f>
        <v>41119</v>
      </c>
      <c r="E40" s="11">
        <f>SUM(E34:E39)</f>
        <v>5112</v>
      </c>
      <c r="F40" s="12">
        <f t="shared" si="0"/>
        <v>0.12432208954497921</v>
      </c>
      <c r="G40" s="11">
        <f>SUM(G34:G39)</f>
        <v>41068</v>
      </c>
      <c r="H40" s="11">
        <f>SUM(H34:H39)</f>
        <v>6340</v>
      </c>
      <c r="I40" s="12">
        <f t="shared" si="1"/>
        <v>0.15437810460699328</v>
      </c>
    </row>
    <row r="41" spans="2:9" ht="16.5" thickBot="1">
      <c r="B41" s="91" t="s">
        <v>10</v>
      </c>
      <c r="C41" s="5" t="s">
        <v>10</v>
      </c>
      <c r="D41" s="6">
        <f>382+6117+4826+6+17+1</f>
        <v>11349</v>
      </c>
      <c r="E41" s="6">
        <v>4991</v>
      </c>
      <c r="F41" s="7">
        <f t="shared" si="0"/>
        <v>0.43977442946515111</v>
      </c>
      <c r="G41" s="6">
        <f>382+6122+4837+6+17+1</f>
        <v>11365</v>
      </c>
      <c r="H41" s="6">
        <f>195+3654+1794+2+2+1</f>
        <v>5648</v>
      </c>
      <c r="I41" s="7">
        <f t="shared" si="1"/>
        <v>0.49696436427628682</v>
      </c>
    </row>
    <row r="42" spans="2:9" ht="16.5" thickBot="1">
      <c r="B42" s="91"/>
      <c r="C42" s="5" t="s">
        <v>26</v>
      </c>
      <c r="D42" s="6">
        <f>194+4973+3464+6+19+12</f>
        <v>8668</v>
      </c>
      <c r="E42" s="6">
        <v>1018</v>
      </c>
      <c r="F42" s="7">
        <f t="shared" si="0"/>
        <v>0.1174434702353484</v>
      </c>
      <c r="G42" s="6">
        <f>273+4973+3464+6+19+12</f>
        <v>8747</v>
      </c>
      <c r="H42" s="6">
        <f>115+645+306+5+11+6</f>
        <v>1088</v>
      </c>
      <c r="I42" s="7">
        <f t="shared" si="1"/>
        <v>0.12438550360123471</v>
      </c>
    </row>
    <row r="43" spans="2:9" ht="16.5" thickBot="1">
      <c r="B43" s="91"/>
      <c r="C43" s="5" t="s">
        <v>35</v>
      </c>
      <c r="D43" s="6">
        <f>400+4001+302+17+58</f>
        <v>4778</v>
      </c>
      <c r="E43" s="6">
        <v>600</v>
      </c>
      <c r="F43" s="7">
        <f t="shared" si="0"/>
        <v>0.12557555462536626</v>
      </c>
      <c r="G43" s="6">
        <f>403+3985+1676+17+58</f>
        <v>6139</v>
      </c>
      <c r="H43" s="6">
        <f>153+450+229+3+23</f>
        <v>858</v>
      </c>
      <c r="I43" s="7">
        <f t="shared" si="1"/>
        <v>0.13976217625020362</v>
      </c>
    </row>
    <row r="44" spans="2:9" ht="16.5" thickBot="1">
      <c r="B44" s="91"/>
      <c r="C44" s="5" t="s">
        <v>38</v>
      </c>
      <c r="D44" s="6">
        <f>139+1595+70+5+6+1</f>
        <v>1816</v>
      </c>
      <c r="E44" s="6">
        <v>755</v>
      </c>
      <c r="F44" s="7">
        <f t="shared" si="0"/>
        <v>0.41574889867841408</v>
      </c>
      <c r="G44" s="6">
        <f>140+1621+247+5+6+1</f>
        <v>2020</v>
      </c>
      <c r="H44" s="6">
        <f>130+466+124+4+3+1</f>
        <v>728</v>
      </c>
      <c r="I44" s="7">
        <f t="shared" si="1"/>
        <v>0.36039603960396038</v>
      </c>
    </row>
    <row r="45" spans="2:9" ht="16.5" thickBot="1">
      <c r="B45" s="91"/>
      <c r="C45" s="5" t="s">
        <v>23</v>
      </c>
      <c r="D45" s="6">
        <f>235+1350+840+3+13+3</f>
        <v>2444</v>
      </c>
      <c r="E45" s="6">
        <v>1230</v>
      </c>
      <c r="F45" s="7">
        <f t="shared" si="0"/>
        <v>0.50327332242225864</v>
      </c>
      <c r="G45" s="6">
        <f>255+1450+660+3+13+3</f>
        <v>2384</v>
      </c>
      <c r="H45" s="6">
        <f>137+864+400+3+6+3</f>
        <v>1413</v>
      </c>
      <c r="I45" s="7">
        <f t="shared" si="1"/>
        <v>0.59270134228187921</v>
      </c>
    </row>
    <row r="46" spans="2:9" ht="16.5" thickBot="1">
      <c r="B46" s="91"/>
      <c r="C46" s="5" t="s">
        <v>16</v>
      </c>
      <c r="D46" s="6">
        <f>373+3118+484+12+14+22</f>
        <v>4023</v>
      </c>
      <c r="E46" s="6">
        <v>1934</v>
      </c>
      <c r="F46" s="7">
        <f t="shared" si="0"/>
        <v>0.48073576932637335</v>
      </c>
      <c r="G46" s="6">
        <f>334+3268+466+13+14+21</f>
        <v>4116</v>
      </c>
      <c r="H46" s="6">
        <f>183+1665+475+4+5</f>
        <v>2332</v>
      </c>
      <c r="I46" s="7">
        <f t="shared" si="1"/>
        <v>0.5665694849368319</v>
      </c>
    </row>
    <row r="47" spans="2:9" ht="16.5" thickBot="1">
      <c r="B47" s="91"/>
      <c r="C47" s="10" t="s">
        <v>60</v>
      </c>
      <c r="D47" s="11">
        <f>SUM(D41:D46)</f>
        <v>33078</v>
      </c>
      <c r="E47" s="11">
        <f>SUM(E41:E46)</f>
        <v>10528</v>
      </c>
      <c r="F47" s="12">
        <f t="shared" si="0"/>
        <v>0.31827800955317737</v>
      </c>
      <c r="G47" s="13">
        <f>SUM(G41:G46)</f>
        <v>34771</v>
      </c>
      <c r="H47" s="13">
        <f>SUM(H41:H46)</f>
        <v>12067</v>
      </c>
      <c r="I47" s="14">
        <f t="shared" si="1"/>
        <v>0.34704207529262893</v>
      </c>
    </row>
    <row r="48" spans="2:9" ht="16.5" thickBot="1">
      <c r="B48" s="91" t="s">
        <v>63</v>
      </c>
      <c r="C48" s="5" t="s">
        <v>50</v>
      </c>
      <c r="D48" s="6">
        <f>224+1169+515+2+10+6</f>
        <v>1926</v>
      </c>
      <c r="E48" s="6">
        <v>386</v>
      </c>
      <c r="F48" s="7">
        <f t="shared" si="0"/>
        <v>0.20041536863966772</v>
      </c>
      <c r="G48" s="6">
        <f>224+1169+515+3+11+6</f>
        <v>1928</v>
      </c>
      <c r="H48" s="6">
        <f>55+201+85+1+1+1</f>
        <v>344</v>
      </c>
      <c r="I48" s="7">
        <f t="shared" si="1"/>
        <v>0.17842323651452283</v>
      </c>
    </row>
    <row r="49" spans="2:9" ht="16.5" thickBot="1">
      <c r="B49" s="91"/>
      <c r="C49" s="5" t="s">
        <v>51</v>
      </c>
      <c r="D49" s="6">
        <f>96+1307+385+3+4</f>
        <v>1795</v>
      </c>
      <c r="E49" s="6">
        <v>400</v>
      </c>
      <c r="F49" s="7">
        <f t="shared" si="0"/>
        <v>0.22284122562674094</v>
      </c>
      <c r="G49" s="6">
        <f>96+1307+385+3+4</f>
        <v>1795</v>
      </c>
      <c r="H49" s="6">
        <f>56+137+89+3+4</f>
        <v>289</v>
      </c>
      <c r="I49" s="7">
        <f t="shared" si="1"/>
        <v>0.16100278551532032</v>
      </c>
    </row>
    <row r="50" spans="2:9" ht="16.5" thickBot="1">
      <c r="B50" s="91"/>
      <c r="C50" s="5" t="s">
        <v>52</v>
      </c>
      <c r="D50" s="6">
        <f>85+1520+8371+6</f>
        <v>9982</v>
      </c>
      <c r="E50" s="6">
        <v>200</v>
      </c>
      <c r="F50" s="7">
        <f t="shared" si="0"/>
        <v>2.0036064916850331E-2</v>
      </c>
      <c r="G50" s="6">
        <f>86+1520+871+1+6</f>
        <v>2484</v>
      </c>
      <c r="H50" s="6">
        <f>25+185+29+1+6</f>
        <v>246</v>
      </c>
      <c r="I50" s="7">
        <f t="shared" si="1"/>
        <v>9.9033816425120769E-2</v>
      </c>
    </row>
    <row r="51" spans="2:9" ht="12.75" customHeight="1" thickBot="1">
      <c r="B51" s="91"/>
      <c r="C51" s="5" t="s">
        <v>39</v>
      </c>
      <c r="D51" s="6">
        <f>146+1805+716+4+9</f>
        <v>2680</v>
      </c>
      <c r="E51" s="6">
        <v>523</v>
      </c>
      <c r="F51" s="7">
        <f t="shared" si="0"/>
        <v>0.19514925373134329</v>
      </c>
      <c r="G51" s="6">
        <f>148+1810+720+4+9</f>
        <v>2691</v>
      </c>
      <c r="H51" s="6">
        <f>48+471+152+3+4</f>
        <v>678</v>
      </c>
      <c r="I51" s="7">
        <f t="shared" si="1"/>
        <v>0.25195094760312153</v>
      </c>
    </row>
    <row r="52" spans="2:9" ht="14.25" customHeight="1" thickBot="1">
      <c r="B52" s="91"/>
      <c r="C52" s="5" t="s">
        <v>56</v>
      </c>
      <c r="D52" s="6">
        <f>52+895+7+2</f>
        <v>956</v>
      </c>
      <c r="E52" s="6">
        <v>108</v>
      </c>
      <c r="F52" s="7">
        <f t="shared" si="0"/>
        <v>0.11297071129707113</v>
      </c>
      <c r="G52" s="6">
        <f>52+895+7+2</f>
        <v>956</v>
      </c>
      <c r="H52" s="6">
        <f>12+110+7+2</f>
        <v>131</v>
      </c>
      <c r="I52" s="7">
        <f t="shared" si="1"/>
        <v>0.13702928870292888</v>
      </c>
    </row>
    <row r="53" spans="2:9" ht="16.5" thickBot="1">
      <c r="B53" s="91"/>
      <c r="C53" s="10" t="s">
        <v>60</v>
      </c>
      <c r="D53" s="11">
        <f>SUM(D48:D52)</f>
        <v>17339</v>
      </c>
      <c r="E53" s="11">
        <f>SUM(E48:E52)</f>
        <v>1617</v>
      </c>
      <c r="F53" s="12">
        <f t="shared" si="0"/>
        <v>9.3257973354864757E-2</v>
      </c>
      <c r="G53" s="11">
        <f>SUM(G48:G52)</f>
        <v>9854</v>
      </c>
      <c r="H53" s="11">
        <f>SUM(H48:H52)</f>
        <v>1688</v>
      </c>
      <c r="I53" s="12">
        <f t="shared" si="1"/>
        <v>0.17130099451999189</v>
      </c>
    </row>
    <row r="54" spans="2:9" ht="16.5" thickBot="1">
      <c r="B54" s="91" t="s">
        <v>20</v>
      </c>
      <c r="C54" s="5" t="s">
        <v>20</v>
      </c>
      <c r="D54" s="6">
        <f>198+3000+3500+2+9+3</f>
        <v>6712</v>
      </c>
      <c r="E54" s="6">
        <v>1570</v>
      </c>
      <c r="F54" s="7">
        <f t="shared" si="0"/>
        <v>0.23390941597139453</v>
      </c>
      <c r="G54" s="6">
        <f>198+3000+3500+2+9+3</f>
        <v>6712</v>
      </c>
      <c r="H54" s="6">
        <f>190+1007+377+2+7+3</f>
        <v>1586</v>
      </c>
      <c r="I54" s="7">
        <f t="shared" si="1"/>
        <v>0.2362932061978546</v>
      </c>
    </row>
    <row r="55" spans="2:9" ht="15" customHeight="1" thickBot="1">
      <c r="B55" s="91"/>
      <c r="C55" s="5" t="s">
        <v>11</v>
      </c>
      <c r="D55" s="6">
        <f>280+5567+5609+4+10+2</f>
        <v>11472</v>
      </c>
      <c r="E55" s="6">
        <v>2961</v>
      </c>
      <c r="F55" s="7">
        <f t="shared" si="0"/>
        <v>0.25810669456066948</v>
      </c>
      <c r="G55" s="6">
        <f>523+5562+5609+4+10+2</f>
        <v>11710</v>
      </c>
      <c r="H55" s="6">
        <f>192+2500+1600+3+5+2</f>
        <v>4302</v>
      </c>
      <c r="I55" s="7">
        <f t="shared" si="1"/>
        <v>0.36737830913748931</v>
      </c>
    </row>
    <row r="56" spans="2:9" ht="13.5" customHeight="1" thickBot="1">
      <c r="B56" s="91"/>
      <c r="C56" s="5" t="s">
        <v>21</v>
      </c>
      <c r="D56" s="6">
        <f>128+2988+44+2+8+3</f>
        <v>3173</v>
      </c>
      <c r="E56" s="6">
        <v>1433</v>
      </c>
      <c r="F56" s="7">
        <f t="shared" si="0"/>
        <v>0.45162306965017335</v>
      </c>
      <c r="G56" s="6">
        <f>138+2988+42+2+9+3</f>
        <v>3182</v>
      </c>
      <c r="H56" s="6">
        <f>116+1378+42+2+9+3</f>
        <v>1550</v>
      </c>
      <c r="I56" s="7">
        <f t="shared" si="1"/>
        <v>0.4871150219987429</v>
      </c>
    </row>
    <row r="57" spans="2:9" ht="16.5" thickBot="1">
      <c r="B57" s="91"/>
      <c r="C57" s="5" t="s">
        <v>32</v>
      </c>
      <c r="D57" s="6">
        <f>275+2972+2017+3+3</f>
        <v>5270</v>
      </c>
      <c r="E57" s="6">
        <v>853</v>
      </c>
      <c r="F57" s="7">
        <f t="shared" si="0"/>
        <v>0.1618595825426945</v>
      </c>
      <c r="G57" s="6">
        <f>275+2972+2017+3+3</f>
        <v>5270</v>
      </c>
      <c r="H57" s="6">
        <f>177+428+274+2+3</f>
        <v>884</v>
      </c>
      <c r="I57" s="7">
        <f t="shared" si="1"/>
        <v>0.16774193548387098</v>
      </c>
    </row>
    <row r="58" spans="2:9" ht="16.5" thickBot="1">
      <c r="B58" s="91"/>
      <c r="C58" s="5" t="s">
        <v>18</v>
      </c>
      <c r="D58" s="6">
        <f>279+2918+590+2+2</f>
        <v>3791</v>
      </c>
      <c r="E58" s="6">
        <v>1786</v>
      </c>
      <c r="F58" s="7">
        <f t="shared" si="0"/>
        <v>0.47111580058032182</v>
      </c>
      <c r="G58" s="6">
        <f>279+2918+590+2+2</f>
        <v>3791</v>
      </c>
      <c r="H58" s="6">
        <f>140+1136+381+2+1</f>
        <v>1660</v>
      </c>
      <c r="I58" s="7">
        <f t="shared" si="1"/>
        <v>0.43787918754945926</v>
      </c>
    </row>
    <row r="59" spans="2:9" ht="16.5" thickBot="1">
      <c r="B59" s="91"/>
      <c r="C59" s="5" t="s">
        <v>48</v>
      </c>
      <c r="D59" s="6">
        <f>113+1900+180+2+8</f>
        <v>2203</v>
      </c>
      <c r="E59" s="6">
        <v>500</v>
      </c>
      <c r="F59" s="7">
        <f t="shared" si="0"/>
        <v>0.22696323195642307</v>
      </c>
      <c r="G59" s="6">
        <f>113+1900+180+2+8</f>
        <v>2203</v>
      </c>
      <c r="H59" s="6">
        <f>69+340+108+1+8</f>
        <v>526</v>
      </c>
      <c r="I59" s="7">
        <f t="shared" si="1"/>
        <v>0.23876532001815706</v>
      </c>
    </row>
    <row r="60" spans="2:9" ht="16.5" thickBot="1">
      <c r="B60" s="91"/>
      <c r="C60" s="10" t="s">
        <v>60</v>
      </c>
      <c r="D60" s="11">
        <f>SUM(D54:D59)</f>
        <v>32621</v>
      </c>
      <c r="E60" s="11">
        <f>SUM(E54:E59)</f>
        <v>9103</v>
      </c>
      <c r="F60" s="12">
        <f t="shared" si="0"/>
        <v>0.27905337052818735</v>
      </c>
      <c r="G60" s="11">
        <f>SUM(G54:G59)</f>
        <v>32868</v>
      </c>
      <c r="H60" s="11">
        <f>SUM(H54:H59)</f>
        <v>10508</v>
      </c>
      <c r="I60" s="12">
        <f t="shared" si="1"/>
        <v>0.31970305464281368</v>
      </c>
    </row>
    <row r="61" spans="2:9" ht="14.25" customHeight="1" thickBot="1">
      <c r="B61" s="92" t="s">
        <v>12</v>
      </c>
      <c r="C61" s="8" t="s">
        <v>12</v>
      </c>
      <c r="D61" s="6">
        <f>252+3272+58+4+52+1</f>
        <v>3639</v>
      </c>
      <c r="E61" s="6">
        <v>1924</v>
      </c>
      <c r="F61" s="7">
        <f t="shared" si="0"/>
        <v>0.52871668040670516</v>
      </c>
      <c r="G61" s="6">
        <f>252+3272+1132+4+52+1</f>
        <v>4713</v>
      </c>
      <c r="H61" s="6">
        <f>176+2255+406+2+22+1</f>
        <v>2862</v>
      </c>
      <c r="I61" s="7">
        <f t="shared" si="1"/>
        <v>0.60725652450668366</v>
      </c>
    </row>
    <row r="62" spans="2:9" ht="12" customHeight="1" thickBot="1">
      <c r="B62" s="92"/>
      <c r="C62" s="8" t="s">
        <v>15</v>
      </c>
      <c r="D62" s="6">
        <f>210+4961+2277+15+11+1</f>
        <v>7475</v>
      </c>
      <c r="E62" s="6">
        <v>2429</v>
      </c>
      <c r="F62" s="7">
        <f t="shared" si="0"/>
        <v>0.32494983277591971</v>
      </c>
      <c r="G62" s="6">
        <f>255+3420+1820+15+13+1</f>
        <v>5524</v>
      </c>
      <c r="H62" s="6">
        <f>165+1714+550+14+7+1</f>
        <v>2451</v>
      </c>
      <c r="I62" s="7">
        <f t="shared" si="1"/>
        <v>0.44370021723388847</v>
      </c>
    </row>
    <row r="63" spans="2:9" ht="16.5" thickBot="1">
      <c r="B63" s="92"/>
      <c r="C63" s="8" t="s">
        <v>13</v>
      </c>
      <c r="D63" s="6">
        <f>124+4875+7+9</f>
        <v>5015</v>
      </c>
      <c r="E63" s="6">
        <v>2607</v>
      </c>
      <c r="F63" s="7">
        <f t="shared" si="0"/>
        <v>0.51984047856430704</v>
      </c>
      <c r="G63" s="6">
        <f>129+4519+8101+83</f>
        <v>12832</v>
      </c>
      <c r="H63" s="6">
        <f>127+2466+83+8+10+1</f>
        <v>2695</v>
      </c>
      <c r="I63" s="7">
        <f t="shared" si="1"/>
        <v>0.21002182044887779</v>
      </c>
    </row>
    <row r="64" spans="2:9" ht="16.5" thickBot="1">
      <c r="B64" s="92"/>
      <c r="C64" s="8" t="s">
        <v>33</v>
      </c>
      <c r="D64" s="6">
        <f>147+406+350+4+6</f>
        <v>913</v>
      </c>
      <c r="E64" s="6">
        <v>499</v>
      </c>
      <c r="F64" s="7">
        <f t="shared" si="0"/>
        <v>0.54654983570646221</v>
      </c>
      <c r="G64" s="6">
        <f>147+1430+350+4+6</f>
        <v>1937</v>
      </c>
      <c r="H64" s="6">
        <f>114+540+220+3+6</f>
        <v>883</v>
      </c>
      <c r="I64" s="7">
        <f t="shared" si="1"/>
        <v>0.45585957666494581</v>
      </c>
    </row>
    <row r="65" spans="2:9" ht="16.5" thickBot="1">
      <c r="B65" s="92"/>
      <c r="C65" s="8" t="s">
        <v>17</v>
      </c>
      <c r="D65" s="6">
        <f>197+2717+495+6+9</f>
        <v>3424</v>
      </c>
      <c r="E65" s="6">
        <v>743</v>
      </c>
      <c r="F65" s="7">
        <f t="shared" si="0"/>
        <v>0.21699766355140188</v>
      </c>
      <c r="G65" s="6">
        <f>198+2800+786+6+9</f>
        <v>3799</v>
      </c>
      <c r="H65" s="6">
        <f>53+1400+236+4+8</f>
        <v>1701</v>
      </c>
      <c r="I65" s="7">
        <f t="shared" si="1"/>
        <v>0.44774940773887867</v>
      </c>
    </row>
    <row r="66" spans="2:9" ht="16.5" thickBot="1">
      <c r="B66" s="92"/>
      <c r="C66" s="10" t="s">
        <v>60</v>
      </c>
      <c r="D66" s="11">
        <f>SUM(D61:D65)</f>
        <v>20466</v>
      </c>
      <c r="E66" s="11">
        <f>SUM(E61:E65)</f>
        <v>8202</v>
      </c>
      <c r="F66" s="12">
        <f t="shared" si="0"/>
        <v>0.40076223981237175</v>
      </c>
      <c r="G66" s="11">
        <f>SUM(G61:G65)</f>
        <v>28805</v>
      </c>
      <c r="H66" s="11">
        <f>SUM(H61:H65)</f>
        <v>10592</v>
      </c>
      <c r="I66" s="12">
        <f t="shared" si="1"/>
        <v>0.36771393855233464</v>
      </c>
    </row>
    <row r="67" spans="2:9" ht="16.5" thickBot="1">
      <c r="B67" s="93" t="s">
        <v>64</v>
      </c>
      <c r="C67" s="93"/>
      <c r="D67" s="6">
        <f>D66+D60+D53+D47+D40+D33+D27+D23+D16</f>
        <v>233488</v>
      </c>
      <c r="E67" s="6">
        <f>E66+E60+E53+E47+E40+E33+E27+E23+E16</f>
        <v>50979</v>
      </c>
      <c r="F67" s="7">
        <f t="shared" si="0"/>
        <v>0.21833670252860959</v>
      </c>
      <c r="G67" s="6">
        <f>G66+G60+G53+G47+G40+G33+G27+G23+G16</f>
        <v>227288</v>
      </c>
      <c r="H67" s="6">
        <f>H66+H60+H53+H47+H40+H33+H27+H23+H16</f>
        <v>64036</v>
      </c>
      <c r="I67" s="7">
        <f t="shared" si="1"/>
        <v>0.28173946710781034</v>
      </c>
    </row>
  </sheetData>
  <mergeCells count="17">
    <mergeCell ref="B48:B53"/>
    <mergeCell ref="B54:B60"/>
    <mergeCell ref="B61:B66"/>
    <mergeCell ref="B67:C67"/>
    <mergeCell ref="A6:I6"/>
    <mergeCell ref="B10:B16"/>
    <mergeCell ref="B17:B23"/>
    <mergeCell ref="B24:B27"/>
    <mergeCell ref="B28:B33"/>
    <mergeCell ref="B34:B40"/>
    <mergeCell ref="B41:B47"/>
    <mergeCell ref="B1:I1"/>
    <mergeCell ref="C2:I2"/>
    <mergeCell ref="B3:I3"/>
    <mergeCell ref="B4:I4"/>
    <mergeCell ref="D8:F8"/>
    <mergeCell ref="G8:I8"/>
  </mergeCells>
  <pageMargins left="0.70866141732283472" right="0.70866141732283472" top="0" bottom="0" header="0" footer="0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"/>
  <sheetViews>
    <sheetView workbookViewId="0">
      <selection activeCell="H9" sqref="H9"/>
    </sheetView>
  </sheetViews>
  <sheetFormatPr baseColWidth="10" defaultRowHeight="15"/>
  <cols>
    <col min="1" max="1" width="1.85546875" customWidth="1"/>
    <col min="2" max="2" width="10.42578125" bestFit="1" customWidth="1"/>
    <col min="3" max="3" width="15.28515625" bestFit="1" customWidth="1"/>
    <col min="4" max="4" width="14.42578125" customWidth="1"/>
    <col min="5" max="5" width="13.140625" customWidth="1"/>
    <col min="6" max="6" width="12.85546875" customWidth="1"/>
    <col min="7" max="7" width="12.7109375" customWidth="1"/>
    <col min="8" max="8" width="8.85546875" bestFit="1" customWidth="1"/>
    <col min="9" max="9" width="10.5703125" bestFit="1" customWidth="1"/>
    <col min="10" max="10" width="9.85546875" bestFit="1" customWidth="1"/>
    <col min="11" max="11" width="11" bestFit="1" customWidth="1"/>
    <col min="12" max="12" width="9.28515625" bestFit="1" customWidth="1"/>
  </cols>
  <sheetData>
    <row r="1" spans="1:12" ht="17.25" customHeight="1">
      <c r="A1" s="100" t="s">
        <v>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8">
      <c r="A3" s="101" t="s">
        <v>66</v>
      </c>
      <c r="B3" s="101"/>
      <c r="C3" s="101"/>
      <c r="D3" s="101"/>
      <c r="E3" s="101"/>
      <c r="F3" s="66"/>
      <c r="G3" s="66"/>
      <c r="H3" s="66"/>
      <c r="I3" s="66"/>
      <c r="J3" s="66"/>
      <c r="K3" s="66"/>
      <c r="L3" s="66"/>
    </row>
    <row r="4" spans="1:12" ht="18">
      <c r="A4" s="67"/>
      <c r="B4" s="67"/>
      <c r="C4" s="67"/>
      <c r="D4" s="67"/>
      <c r="E4" s="67"/>
      <c r="F4" s="66"/>
      <c r="G4" s="66"/>
      <c r="H4" s="66"/>
      <c r="I4" s="66"/>
      <c r="J4" s="66"/>
      <c r="K4" s="66"/>
      <c r="L4" s="66"/>
    </row>
    <row r="5" spans="1:12" ht="22.5">
      <c r="A5" s="61"/>
      <c r="B5" s="102" t="s">
        <v>158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ht="22.5">
      <c r="A6" s="61"/>
      <c r="B6" s="61"/>
      <c r="C6" s="61"/>
      <c r="D6" s="68"/>
      <c r="E6" s="68"/>
      <c r="F6" s="68"/>
      <c r="G6" s="68"/>
      <c r="H6" s="68"/>
      <c r="I6" s="68"/>
      <c r="J6" s="68"/>
      <c r="K6" s="68"/>
      <c r="L6" s="61"/>
    </row>
    <row r="7" spans="1:12" ht="104.25" customHeight="1">
      <c r="A7" s="61"/>
      <c r="B7" s="69" t="s">
        <v>67</v>
      </c>
      <c r="C7" s="69" t="s">
        <v>130</v>
      </c>
      <c r="D7" s="70" t="s">
        <v>68</v>
      </c>
      <c r="E7" s="70" t="s">
        <v>69</v>
      </c>
      <c r="F7" s="70" t="s">
        <v>70</v>
      </c>
      <c r="G7" s="70" t="s">
        <v>71</v>
      </c>
      <c r="H7" s="71" t="s">
        <v>72</v>
      </c>
      <c r="I7" s="71" t="s">
        <v>73</v>
      </c>
      <c r="J7" s="71" t="s">
        <v>74</v>
      </c>
      <c r="K7" s="70" t="s">
        <v>85</v>
      </c>
      <c r="L7" s="70" t="s">
        <v>76</v>
      </c>
    </row>
    <row r="8" spans="1:12">
      <c r="B8" s="103" t="s">
        <v>9</v>
      </c>
      <c r="C8" s="72" t="s">
        <v>9</v>
      </c>
      <c r="D8" s="73">
        <v>3777</v>
      </c>
      <c r="E8" s="73">
        <v>499</v>
      </c>
      <c r="F8" s="73">
        <v>1879</v>
      </c>
      <c r="G8" s="73">
        <v>1386</v>
      </c>
      <c r="H8" s="73">
        <v>8</v>
      </c>
      <c r="I8" s="73">
        <v>5</v>
      </c>
      <c r="J8" s="73">
        <v>0</v>
      </c>
      <c r="K8" s="73">
        <f>H8+I8+J8</f>
        <v>13</v>
      </c>
      <c r="L8" s="73">
        <v>172</v>
      </c>
    </row>
    <row r="9" spans="1:12">
      <c r="B9" s="104"/>
      <c r="C9" s="74" t="s">
        <v>131</v>
      </c>
      <c r="D9" s="73">
        <v>1493</v>
      </c>
      <c r="E9" s="73">
        <v>170</v>
      </c>
      <c r="F9" s="73">
        <v>884</v>
      </c>
      <c r="G9" s="73">
        <v>425</v>
      </c>
      <c r="H9" s="73">
        <v>3</v>
      </c>
      <c r="I9" s="73">
        <v>11</v>
      </c>
      <c r="J9" s="73">
        <v>0</v>
      </c>
      <c r="K9" s="73">
        <f t="shared" ref="K9:K10" si="0">H9+I9+J9</f>
        <v>14</v>
      </c>
      <c r="L9" s="73">
        <v>64</v>
      </c>
    </row>
    <row r="10" spans="1:12">
      <c r="B10" s="104"/>
      <c r="C10" s="72" t="s">
        <v>27</v>
      </c>
      <c r="D10" s="73">
        <v>1025</v>
      </c>
      <c r="E10" s="73">
        <v>110</v>
      </c>
      <c r="F10" s="73">
        <v>632</v>
      </c>
      <c r="G10" s="73">
        <v>279</v>
      </c>
      <c r="H10" s="73">
        <v>2</v>
      </c>
      <c r="I10" s="73">
        <v>2</v>
      </c>
      <c r="J10" s="73">
        <v>0</v>
      </c>
      <c r="K10" s="73">
        <f t="shared" si="0"/>
        <v>4</v>
      </c>
      <c r="L10" s="73">
        <v>58</v>
      </c>
    </row>
    <row r="11" spans="1:12">
      <c r="B11" s="105"/>
      <c r="C11" s="75" t="s">
        <v>132</v>
      </c>
      <c r="D11" s="76">
        <f>SUM(D8:D10)</f>
        <v>6295</v>
      </c>
      <c r="E11" s="76">
        <f t="shared" ref="E11:L11" si="1">SUM(E8:E10)</f>
        <v>779</v>
      </c>
      <c r="F11" s="76">
        <f t="shared" si="1"/>
        <v>3395</v>
      </c>
      <c r="G11" s="76">
        <f t="shared" si="1"/>
        <v>2090</v>
      </c>
      <c r="H11" s="76">
        <f t="shared" si="1"/>
        <v>13</v>
      </c>
      <c r="I11" s="76">
        <f t="shared" si="1"/>
        <v>18</v>
      </c>
      <c r="J11" s="76">
        <f t="shared" si="1"/>
        <v>0</v>
      </c>
      <c r="K11" s="76">
        <f t="shared" si="1"/>
        <v>31</v>
      </c>
      <c r="L11" s="76">
        <f t="shared" si="1"/>
        <v>294</v>
      </c>
    </row>
    <row r="12" spans="1:12">
      <c r="B12" s="97" t="s">
        <v>20</v>
      </c>
      <c r="C12" s="77" t="s">
        <v>133</v>
      </c>
      <c r="D12" s="73">
        <v>1728</v>
      </c>
      <c r="E12" s="73">
        <v>216</v>
      </c>
      <c r="F12" s="73">
        <v>1000</v>
      </c>
      <c r="G12" s="73">
        <v>500</v>
      </c>
      <c r="H12" s="73">
        <v>2</v>
      </c>
      <c r="I12" s="73">
        <v>7</v>
      </c>
      <c r="J12" s="73">
        <v>3</v>
      </c>
      <c r="K12" s="73">
        <f t="shared" ref="K12:K62" si="2">H12+I12+J12</f>
        <v>12</v>
      </c>
      <c r="L12" s="73">
        <v>40</v>
      </c>
    </row>
    <row r="13" spans="1:12">
      <c r="B13" s="98"/>
      <c r="C13" s="78" t="s">
        <v>134</v>
      </c>
      <c r="D13" s="73">
        <v>3252</v>
      </c>
      <c r="E13" s="73">
        <v>188</v>
      </c>
      <c r="F13" s="73">
        <v>2450</v>
      </c>
      <c r="G13" s="73">
        <v>600</v>
      </c>
      <c r="H13" s="73">
        <v>4</v>
      </c>
      <c r="I13" s="73">
        <v>8</v>
      </c>
      <c r="J13" s="73">
        <v>2</v>
      </c>
      <c r="K13" s="73">
        <f t="shared" si="2"/>
        <v>14</v>
      </c>
      <c r="L13" s="73">
        <v>48</v>
      </c>
    </row>
    <row r="14" spans="1:12">
      <c r="B14" s="98"/>
      <c r="C14" s="78" t="s">
        <v>21</v>
      </c>
      <c r="D14" s="73">
        <v>976</v>
      </c>
      <c r="E14" s="73">
        <v>134</v>
      </c>
      <c r="F14" s="73">
        <v>794</v>
      </c>
      <c r="G14" s="73">
        <v>41</v>
      </c>
      <c r="H14" s="73">
        <v>1</v>
      </c>
      <c r="I14" s="73">
        <v>3</v>
      </c>
      <c r="J14" s="73">
        <v>3</v>
      </c>
      <c r="K14" s="73">
        <f t="shared" si="2"/>
        <v>7</v>
      </c>
      <c r="L14" s="73">
        <v>57</v>
      </c>
    </row>
    <row r="15" spans="1:12">
      <c r="B15" s="98"/>
      <c r="C15" s="77" t="s">
        <v>135</v>
      </c>
      <c r="D15" s="73">
        <v>1228</v>
      </c>
      <c r="E15" s="73">
        <v>227</v>
      </c>
      <c r="F15" s="73">
        <v>567</v>
      </c>
      <c r="G15" s="73">
        <v>429</v>
      </c>
      <c r="H15" s="73">
        <v>1</v>
      </c>
      <c r="I15" s="73">
        <v>4</v>
      </c>
      <c r="J15" s="73">
        <v>0</v>
      </c>
      <c r="K15" s="73">
        <f t="shared" si="2"/>
        <v>5</v>
      </c>
      <c r="L15" s="73">
        <v>40</v>
      </c>
    </row>
    <row r="16" spans="1:12">
      <c r="B16" s="98"/>
      <c r="C16" s="77" t="s">
        <v>136</v>
      </c>
      <c r="D16" s="73">
        <v>1411</v>
      </c>
      <c r="E16" s="73">
        <v>158</v>
      </c>
      <c r="F16" s="73">
        <v>993</v>
      </c>
      <c r="G16" s="73">
        <v>256</v>
      </c>
      <c r="H16" s="73">
        <v>2</v>
      </c>
      <c r="I16" s="73">
        <v>2</v>
      </c>
      <c r="J16" s="73">
        <v>0</v>
      </c>
      <c r="K16" s="73">
        <f t="shared" si="2"/>
        <v>4</v>
      </c>
      <c r="L16" s="73">
        <v>54</v>
      </c>
    </row>
    <row r="17" spans="2:14">
      <c r="B17" s="98"/>
      <c r="C17" s="77" t="s">
        <v>48</v>
      </c>
      <c r="D17" s="73">
        <v>919</v>
      </c>
      <c r="E17" s="73">
        <v>113</v>
      </c>
      <c r="F17" s="73">
        <v>422</v>
      </c>
      <c r="G17" s="73">
        <v>377</v>
      </c>
      <c r="H17" s="73">
        <v>1</v>
      </c>
      <c r="I17" s="73">
        <v>6</v>
      </c>
      <c r="J17" s="73">
        <v>0</v>
      </c>
      <c r="K17" s="73">
        <f t="shared" si="2"/>
        <v>7</v>
      </c>
      <c r="L17" s="73">
        <v>40</v>
      </c>
    </row>
    <row r="18" spans="2:14">
      <c r="B18" s="99"/>
      <c r="C18" s="75" t="s">
        <v>132</v>
      </c>
      <c r="D18" s="76">
        <f>SUM(D12:D17)</f>
        <v>9514</v>
      </c>
      <c r="E18" s="76">
        <f t="shared" ref="E18:L18" si="3">SUM(E12:E17)</f>
        <v>1036</v>
      </c>
      <c r="F18" s="76">
        <f t="shared" si="3"/>
        <v>6226</v>
      </c>
      <c r="G18" s="76">
        <f t="shared" si="3"/>
        <v>2203</v>
      </c>
      <c r="H18" s="76">
        <f t="shared" si="3"/>
        <v>11</v>
      </c>
      <c r="I18" s="76">
        <f t="shared" si="3"/>
        <v>30</v>
      </c>
      <c r="J18" s="76">
        <f t="shared" si="3"/>
        <v>8</v>
      </c>
      <c r="K18" s="76">
        <f t="shared" si="3"/>
        <v>49</v>
      </c>
      <c r="L18" s="76">
        <f t="shared" si="3"/>
        <v>279</v>
      </c>
    </row>
    <row r="19" spans="2:14">
      <c r="B19" s="97" t="s">
        <v>137</v>
      </c>
      <c r="C19" s="77" t="s">
        <v>137</v>
      </c>
      <c r="D19" s="73">
        <v>5086</v>
      </c>
      <c r="E19" s="73">
        <v>294</v>
      </c>
      <c r="F19" s="73">
        <v>3223</v>
      </c>
      <c r="G19" s="73">
        <v>1564</v>
      </c>
      <c r="H19" s="73">
        <v>2</v>
      </c>
      <c r="I19" s="73">
        <v>2</v>
      </c>
      <c r="J19" s="73">
        <v>1</v>
      </c>
      <c r="K19" s="73">
        <f t="shared" si="2"/>
        <v>5</v>
      </c>
      <c r="L19" s="73">
        <v>40</v>
      </c>
      <c r="N19" s="24"/>
    </row>
    <row r="20" spans="2:14">
      <c r="B20" s="98"/>
      <c r="C20" s="77" t="s">
        <v>138</v>
      </c>
      <c r="D20" s="73">
        <v>1029</v>
      </c>
      <c r="E20" s="73">
        <v>106</v>
      </c>
      <c r="F20" s="73">
        <v>627</v>
      </c>
      <c r="G20" s="73">
        <v>272</v>
      </c>
      <c r="H20" s="73">
        <v>5</v>
      </c>
      <c r="I20" s="73">
        <v>11</v>
      </c>
      <c r="J20" s="73">
        <v>8</v>
      </c>
      <c r="K20" s="73">
        <f t="shared" si="2"/>
        <v>24</v>
      </c>
      <c r="L20" s="73">
        <v>119</v>
      </c>
      <c r="N20" s="24"/>
    </row>
    <row r="21" spans="2:14">
      <c r="B21" s="98"/>
      <c r="C21" s="77" t="s">
        <v>139</v>
      </c>
      <c r="D21" s="73">
        <v>1014</v>
      </c>
      <c r="E21" s="73">
        <v>150</v>
      </c>
      <c r="F21" s="73">
        <v>633</v>
      </c>
      <c r="G21" s="73">
        <v>218</v>
      </c>
      <c r="H21" s="73">
        <v>3</v>
      </c>
      <c r="I21" s="73">
        <v>6</v>
      </c>
      <c r="J21" s="73">
        <v>4</v>
      </c>
      <c r="K21" s="73">
        <f t="shared" si="2"/>
        <v>13</v>
      </c>
      <c r="L21" s="73">
        <v>20</v>
      </c>
      <c r="N21" s="24"/>
    </row>
    <row r="22" spans="2:14">
      <c r="B22" s="98"/>
      <c r="C22" s="77" t="s">
        <v>35</v>
      </c>
      <c r="D22" s="73">
        <v>929</v>
      </c>
      <c r="E22" s="73">
        <v>166</v>
      </c>
      <c r="F22" s="73">
        <v>510</v>
      </c>
      <c r="G22" s="73">
        <v>231</v>
      </c>
      <c r="H22" s="73">
        <v>2</v>
      </c>
      <c r="I22" s="73">
        <v>20</v>
      </c>
      <c r="J22" s="73">
        <v>0</v>
      </c>
      <c r="K22" s="73">
        <f t="shared" si="2"/>
        <v>22</v>
      </c>
      <c r="L22" s="73">
        <v>40</v>
      </c>
      <c r="N22" s="24"/>
    </row>
    <row r="23" spans="2:14">
      <c r="B23" s="98"/>
      <c r="C23" s="77" t="s">
        <v>38</v>
      </c>
      <c r="D23" s="73">
        <v>562</v>
      </c>
      <c r="E23" s="73">
        <v>140</v>
      </c>
      <c r="F23" s="73">
        <v>286</v>
      </c>
      <c r="G23" s="73">
        <v>125</v>
      </c>
      <c r="H23" s="73">
        <v>5</v>
      </c>
      <c r="I23" s="73">
        <v>5</v>
      </c>
      <c r="J23" s="73">
        <v>1</v>
      </c>
      <c r="K23" s="73">
        <f t="shared" si="2"/>
        <v>11</v>
      </c>
      <c r="L23" s="73">
        <v>50</v>
      </c>
      <c r="N23" s="24"/>
    </row>
    <row r="24" spans="2:14">
      <c r="B24" s="98"/>
      <c r="C24" s="77" t="s">
        <v>16</v>
      </c>
      <c r="D24" s="73">
        <v>2589</v>
      </c>
      <c r="E24" s="73">
        <v>210</v>
      </c>
      <c r="F24" s="73">
        <v>1734</v>
      </c>
      <c r="G24" s="73">
        <v>635</v>
      </c>
      <c r="H24" s="73">
        <v>4</v>
      </c>
      <c r="I24" s="73">
        <v>5</v>
      </c>
      <c r="J24" s="73">
        <v>1</v>
      </c>
      <c r="K24" s="73">
        <f t="shared" si="2"/>
        <v>10</v>
      </c>
      <c r="L24" s="73">
        <v>57</v>
      </c>
      <c r="N24" s="24"/>
    </row>
    <row r="25" spans="2:14">
      <c r="B25" s="99"/>
      <c r="C25" s="75" t="s">
        <v>132</v>
      </c>
      <c r="D25" s="76">
        <f>SUM(D19:D24)</f>
        <v>11209</v>
      </c>
      <c r="E25" s="76">
        <f t="shared" ref="E25:L25" si="4">SUM(E19:E24)</f>
        <v>1066</v>
      </c>
      <c r="F25" s="76">
        <f t="shared" si="4"/>
        <v>7013</v>
      </c>
      <c r="G25" s="76">
        <f t="shared" si="4"/>
        <v>3045</v>
      </c>
      <c r="H25" s="76">
        <f t="shared" si="4"/>
        <v>21</v>
      </c>
      <c r="I25" s="76">
        <f t="shared" si="4"/>
        <v>49</v>
      </c>
      <c r="J25" s="76">
        <f t="shared" si="4"/>
        <v>15</v>
      </c>
      <c r="K25" s="76">
        <f t="shared" si="4"/>
        <v>85</v>
      </c>
      <c r="L25" s="76">
        <f t="shared" si="4"/>
        <v>326</v>
      </c>
      <c r="N25" s="24"/>
    </row>
    <row r="26" spans="2:14">
      <c r="B26" s="103" t="s">
        <v>61</v>
      </c>
      <c r="C26" s="74" t="s">
        <v>61</v>
      </c>
      <c r="D26" s="73">
        <v>840</v>
      </c>
      <c r="E26" s="73">
        <v>114</v>
      </c>
      <c r="F26" s="73">
        <v>521</v>
      </c>
      <c r="G26" s="73">
        <v>193</v>
      </c>
      <c r="H26" s="73">
        <v>4</v>
      </c>
      <c r="I26" s="73">
        <v>8</v>
      </c>
      <c r="J26" s="73">
        <v>0</v>
      </c>
      <c r="K26" s="73">
        <f t="shared" si="2"/>
        <v>12</v>
      </c>
      <c r="L26" s="73">
        <v>22</v>
      </c>
    </row>
    <row r="27" spans="2:14">
      <c r="B27" s="104"/>
      <c r="C27" s="74" t="s">
        <v>140</v>
      </c>
      <c r="D27" s="73">
        <v>813</v>
      </c>
      <c r="E27" s="73">
        <v>153</v>
      </c>
      <c r="F27" s="73">
        <v>453</v>
      </c>
      <c r="G27" s="73">
        <v>197</v>
      </c>
      <c r="H27" s="73">
        <v>3</v>
      </c>
      <c r="I27" s="73">
        <v>7</v>
      </c>
      <c r="J27" s="73">
        <v>0</v>
      </c>
      <c r="K27" s="73">
        <f t="shared" si="2"/>
        <v>10</v>
      </c>
      <c r="L27" s="73">
        <v>84</v>
      </c>
    </row>
    <row r="28" spans="2:14">
      <c r="B28" s="104"/>
      <c r="C28" s="79" t="s">
        <v>141</v>
      </c>
      <c r="D28" s="73">
        <v>569</v>
      </c>
      <c r="E28" s="73">
        <v>59</v>
      </c>
      <c r="F28" s="73">
        <v>268</v>
      </c>
      <c r="G28" s="73">
        <v>233</v>
      </c>
      <c r="H28" s="73">
        <v>1</v>
      </c>
      <c r="I28" s="73">
        <v>6</v>
      </c>
      <c r="J28" s="73">
        <v>2</v>
      </c>
      <c r="K28" s="73">
        <f t="shared" si="2"/>
        <v>9</v>
      </c>
      <c r="L28" s="73">
        <v>37</v>
      </c>
    </row>
    <row r="29" spans="2:14">
      <c r="B29" s="104"/>
      <c r="C29" s="80" t="s">
        <v>142</v>
      </c>
      <c r="D29" s="73">
        <v>711</v>
      </c>
      <c r="E29" s="73">
        <v>101</v>
      </c>
      <c r="F29" s="73">
        <v>568</v>
      </c>
      <c r="G29" s="73">
        <v>30</v>
      </c>
      <c r="H29" s="73">
        <v>2</v>
      </c>
      <c r="I29" s="73">
        <v>9</v>
      </c>
      <c r="J29" s="73">
        <v>1</v>
      </c>
      <c r="K29" s="73">
        <f t="shared" si="2"/>
        <v>12</v>
      </c>
      <c r="L29" s="73">
        <v>45</v>
      </c>
    </row>
    <row r="30" spans="2:14">
      <c r="B30" s="104"/>
      <c r="C30" s="79" t="s">
        <v>143</v>
      </c>
      <c r="D30" s="73">
        <v>533</v>
      </c>
      <c r="E30" s="73">
        <v>82</v>
      </c>
      <c r="F30" s="73">
        <v>304</v>
      </c>
      <c r="G30" s="73">
        <v>144</v>
      </c>
      <c r="H30" s="73">
        <v>1</v>
      </c>
      <c r="I30" s="73">
        <v>2</v>
      </c>
      <c r="J30" s="73">
        <v>0</v>
      </c>
      <c r="K30" s="73">
        <f t="shared" si="2"/>
        <v>3</v>
      </c>
      <c r="L30" s="73">
        <v>22</v>
      </c>
    </row>
    <row r="31" spans="2:14">
      <c r="B31" s="105"/>
      <c r="C31" s="75" t="s">
        <v>132</v>
      </c>
      <c r="D31" s="76">
        <f>SUM(D26:D30)</f>
        <v>3466</v>
      </c>
      <c r="E31" s="76">
        <f t="shared" ref="E31:L31" si="5">SUM(E26:E30)</f>
        <v>509</v>
      </c>
      <c r="F31" s="76">
        <f t="shared" si="5"/>
        <v>2114</v>
      </c>
      <c r="G31" s="76">
        <f t="shared" si="5"/>
        <v>797</v>
      </c>
      <c r="H31" s="76">
        <f t="shared" si="5"/>
        <v>11</v>
      </c>
      <c r="I31" s="76">
        <f t="shared" si="5"/>
        <v>32</v>
      </c>
      <c r="J31" s="76">
        <f t="shared" si="5"/>
        <v>3</v>
      </c>
      <c r="K31" s="76">
        <f t="shared" si="5"/>
        <v>46</v>
      </c>
      <c r="L31" s="76">
        <f t="shared" si="5"/>
        <v>210</v>
      </c>
    </row>
    <row r="32" spans="2:14">
      <c r="B32" s="103" t="s">
        <v>62</v>
      </c>
      <c r="C32" s="79" t="s">
        <v>62</v>
      </c>
      <c r="D32" s="73">
        <f>576+145</f>
        <v>721</v>
      </c>
      <c r="E32" s="73">
        <f>91+27</f>
        <v>118</v>
      </c>
      <c r="F32" s="73">
        <f>315+94</f>
        <v>409</v>
      </c>
      <c r="G32" s="73">
        <f>156+24</f>
        <v>180</v>
      </c>
      <c r="H32" s="73">
        <v>2</v>
      </c>
      <c r="I32" s="73">
        <v>11</v>
      </c>
      <c r="J32" s="73">
        <v>1</v>
      </c>
      <c r="K32" s="73">
        <f t="shared" si="2"/>
        <v>14</v>
      </c>
      <c r="L32" s="73">
        <f>55+7</f>
        <v>62</v>
      </c>
      <c r="N32" s="24"/>
    </row>
    <row r="33" spans="2:14">
      <c r="B33" s="104"/>
      <c r="C33" s="74" t="s">
        <v>144</v>
      </c>
      <c r="D33" s="73">
        <v>423</v>
      </c>
      <c r="E33" s="73">
        <v>103</v>
      </c>
      <c r="F33" s="73">
        <v>251</v>
      </c>
      <c r="G33" s="73">
        <v>63</v>
      </c>
      <c r="H33" s="73">
        <v>1</v>
      </c>
      <c r="I33" s="73">
        <v>3</v>
      </c>
      <c r="J33" s="73">
        <v>2</v>
      </c>
      <c r="K33" s="73">
        <f t="shared" si="2"/>
        <v>6</v>
      </c>
      <c r="L33" s="73">
        <v>17</v>
      </c>
      <c r="N33" s="24"/>
    </row>
    <row r="34" spans="2:14">
      <c r="B34" s="104"/>
      <c r="C34" s="74" t="s">
        <v>145</v>
      </c>
      <c r="D34" s="73">
        <v>807</v>
      </c>
      <c r="E34" s="73">
        <v>104</v>
      </c>
      <c r="F34" s="73">
        <v>384</v>
      </c>
      <c r="G34" s="73">
        <v>302</v>
      </c>
      <c r="H34" s="73">
        <v>1</v>
      </c>
      <c r="I34" s="73">
        <v>14</v>
      </c>
      <c r="J34" s="73">
        <v>2</v>
      </c>
      <c r="K34" s="73">
        <f t="shared" si="2"/>
        <v>17</v>
      </c>
      <c r="L34" s="73">
        <v>30</v>
      </c>
      <c r="N34" s="24"/>
    </row>
    <row r="35" spans="2:14">
      <c r="B35" s="104"/>
      <c r="C35" s="74" t="s">
        <v>146</v>
      </c>
      <c r="D35" s="73">
        <v>1966</v>
      </c>
      <c r="E35" s="73">
        <v>199</v>
      </c>
      <c r="F35" s="73">
        <v>1069</v>
      </c>
      <c r="G35" s="73">
        <v>687</v>
      </c>
      <c r="H35" s="73">
        <v>4</v>
      </c>
      <c r="I35" s="73">
        <v>7</v>
      </c>
      <c r="J35" s="73">
        <v>0</v>
      </c>
      <c r="K35" s="73">
        <f t="shared" si="2"/>
        <v>11</v>
      </c>
      <c r="L35" s="73">
        <v>72</v>
      </c>
      <c r="N35" s="24"/>
    </row>
    <row r="36" spans="2:14">
      <c r="B36" s="104"/>
      <c r="C36" s="80" t="s">
        <v>147</v>
      </c>
      <c r="D36" s="73">
        <v>701</v>
      </c>
      <c r="E36" s="73">
        <v>107</v>
      </c>
      <c r="F36" s="73">
        <v>377</v>
      </c>
      <c r="G36" s="73">
        <v>205</v>
      </c>
      <c r="H36" s="73">
        <v>7</v>
      </c>
      <c r="I36" s="73">
        <v>4</v>
      </c>
      <c r="J36" s="73">
        <v>1</v>
      </c>
      <c r="K36" s="73">
        <f t="shared" si="2"/>
        <v>12</v>
      </c>
      <c r="L36" s="73">
        <v>30</v>
      </c>
      <c r="N36" s="24"/>
    </row>
    <row r="37" spans="2:14">
      <c r="B37" s="104"/>
      <c r="C37" s="74" t="s">
        <v>148</v>
      </c>
      <c r="D37" s="73">
        <v>1132</v>
      </c>
      <c r="E37" s="73">
        <v>92</v>
      </c>
      <c r="F37" s="73">
        <v>616</v>
      </c>
      <c r="G37" s="73">
        <v>416</v>
      </c>
      <c r="H37" s="73">
        <v>2</v>
      </c>
      <c r="I37" s="73">
        <v>6</v>
      </c>
      <c r="J37" s="73">
        <v>0</v>
      </c>
      <c r="K37" s="73">
        <f t="shared" si="2"/>
        <v>8</v>
      </c>
      <c r="L37" s="73">
        <v>55</v>
      </c>
      <c r="N37" s="24"/>
    </row>
    <row r="38" spans="2:14">
      <c r="B38" s="105"/>
      <c r="C38" s="75" t="s">
        <v>132</v>
      </c>
      <c r="D38" s="76">
        <f t="shared" ref="D38:J38" si="6">SUM(D32:D37)</f>
        <v>5750</v>
      </c>
      <c r="E38" s="76">
        <f t="shared" si="6"/>
        <v>723</v>
      </c>
      <c r="F38" s="76">
        <f t="shared" si="6"/>
        <v>3106</v>
      </c>
      <c r="G38" s="76">
        <f t="shared" si="6"/>
        <v>1853</v>
      </c>
      <c r="H38" s="76">
        <f t="shared" si="6"/>
        <v>17</v>
      </c>
      <c r="I38" s="76">
        <f t="shared" si="6"/>
        <v>45</v>
      </c>
      <c r="J38" s="76">
        <f t="shared" si="6"/>
        <v>6</v>
      </c>
      <c r="K38" s="76">
        <f t="shared" ref="K38" si="7">SUM(K32:K37)</f>
        <v>68</v>
      </c>
      <c r="L38" s="76">
        <f>SUM(L32:L37)</f>
        <v>266</v>
      </c>
      <c r="N38" s="24"/>
    </row>
    <row r="39" spans="2:14">
      <c r="B39" s="103" t="s">
        <v>49</v>
      </c>
      <c r="C39" s="74" t="s">
        <v>49</v>
      </c>
      <c r="D39" s="73">
        <v>424</v>
      </c>
      <c r="E39" s="73">
        <v>49</v>
      </c>
      <c r="F39" s="73">
        <v>302</v>
      </c>
      <c r="G39" s="73">
        <v>67</v>
      </c>
      <c r="H39" s="73">
        <v>1</v>
      </c>
      <c r="I39" s="73">
        <v>3</v>
      </c>
      <c r="J39" s="73">
        <v>2</v>
      </c>
      <c r="K39" s="73">
        <f t="shared" si="2"/>
        <v>6</v>
      </c>
      <c r="L39" s="73">
        <v>26</v>
      </c>
      <c r="N39" s="24"/>
    </row>
    <row r="40" spans="2:14">
      <c r="B40" s="104"/>
      <c r="C40" s="74" t="s">
        <v>36</v>
      </c>
      <c r="D40" s="73">
        <v>625</v>
      </c>
      <c r="E40" s="73">
        <v>106</v>
      </c>
      <c r="F40" s="73">
        <v>326</v>
      </c>
      <c r="G40" s="73">
        <v>179</v>
      </c>
      <c r="H40" s="73">
        <v>5</v>
      </c>
      <c r="I40" s="73">
        <v>9</v>
      </c>
      <c r="J40" s="73">
        <v>0</v>
      </c>
      <c r="K40" s="73">
        <f t="shared" si="2"/>
        <v>14</v>
      </c>
      <c r="L40" s="73">
        <v>52</v>
      </c>
      <c r="N40" s="24"/>
    </row>
    <row r="41" spans="2:14">
      <c r="B41" s="104"/>
      <c r="C41" s="74" t="s">
        <v>44</v>
      </c>
      <c r="D41" s="73">
        <v>684</v>
      </c>
      <c r="E41" s="73">
        <v>106</v>
      </c>
      <c r="F41" s="73">
        <v>443</v>
      </c>
      <c r="G41" s="73">
        <v>123</v>
      </c>
      <c r="H41" s="73">
        <v>5</v>
      </c>
      <c r="I41" s="73">
        <v>7</v>
      </c>
      <c r="J41" s="73">
        <v>0</v>
      </c>
      <c r="K41" s="73">
        <f t="shared" si="2"/>
        <v>12</v>
      </c>
      <c r="L41" s="73">
        <v>54</v>
      </c>
      <c r="N41" s="24"/>
    </row>
    <row r="42" spans="2:14">
      <c r="B42" s="104"/>
      <c r="C42" s="74" t="s">
        <v>149</v>
      </c>
      <c r="D42" s="73">
        <v>198</v>
      </c>
      <c r="E42" s="73">
        <v>32</v>
      </c>
      <c r="F42" s="73">
        <v>116</v>
      </c>
      <c r="G42" s="73">
        <v>48</v>
      </c>
      <c r="H42" s="73">
        <v>1</v>
      </c>
      <c r="I42" s="73">
        <v>1</v>
      </c>
      <c r="J42" s="73">
        <v>0</v>
      </c>
      <c r="K42" s="73">
        <f t="shared" si="2"/>
        <v>2</v>
      </c>
      <c r="L42" s="73">
        <v>22</v>
      </c>
      <c r="N42" s="24"/>
    </row>
    <row r="43" spans="2:14">
      <c r="B43" s="104"/>
      <c r="C43" s="74" t="s">
        <v>34</v>
      </c>
      <c r="D43" s="73">
        <v>775</v>
      </c>
      <c r="E43" s="73">
        <v>142</v>
      </c>
      <c r="F43" s="73">
        <v>428</v>
      </c>
      <c r="G43" s="73">
        <v>197</v>
      </c>
      <c r="H43" s="73">
        <v>1</v>
      </c>
      <c r="I43" s="73">
        <v>6</v>
      </c>
      <c r="J43" s="73">
        <v>1</v>
      </c>
      <c r="K43" s="73">
        <f t="shared" si="2"/>
        <v>8</v>
      </c>
      <c r="L43" s="73">
        <v>42</v>
      </c>
      <c r="N43" s="24"/>
    </row>
    <row r="44" spans="2:14">
      <c r="B44" s="104"/>
      <c r="C44" s="74" t="s">
        <v>150</v>
      </c>
      <c r="D44" s="73">
        <v>1330</v>
      </c>
      <c r="E44" s="73">
        <v>224</v>
      </c>
      <c r="F44" s="73">
        <v>745</v>
      </c>
      <c r="G44" s="73">
        <v>356</v>
      </c>
      <c r="H44" s="73">
        <v>1</v>
      </c>
      <c r="I44" s="73">
        <v>4</v>
      </c>
      <c r="J44" s="73">
        <v>0</v>
      </c>
      <c r="K44" s="73">
        <f t="shared" si="2"/>
        <v>5</v>
      </c>
      <c r="L44" s="73">
        <v>74</v>
      </c>
      <c r="N44" s="24"/>
    </row>
    <row r="45" spans="2:14">
      <c r="B45" s="105"/>
      <c r="C45" s="75" t="s">
        <v>132</v>
      </c>
      <c r="D45" s="76">
        <f>SUM(D39:D44)</f>
        <v>4036</v>
      </c>
      <c r="E45" s="76">
        <f t="shared" ref="E45:L45" si="8">SUM(E39:E44)</f>
        <v>659</v>
      </c>
      <c r="F45" s="76">
        <f t="shared" si="8"/>
        <v>2360</v>
      </c>
      <c r="G45" s="76">
        <f t="shared" si="8"/>
        <v>970</v>
      </c>
      <c r="H45" s="76">
        <f t="shared" si="8"/>
        <v>14</v>
      </c>
      <c r="I45" s="76">
        <f t="shared" si="8"/>
        <v>30</v>
      </c>
      <c r="J45" s="76">
        <f t="shared" si="8"/>
        <v>3</v>
      </c>
      <c r="K45" s="76">
        <f t="shared" si="8"/>
        <v>47</v>
      </c>
      <c r="L45" s="76">
        <f t="shared" si="8"/>
        <v>270</v>
      </c>
      <c r="N45" s="24"/>
    </row>
    <row r="46" spans="2:14">
      <c r="B46" s="97" t="s">
        <v>12</v>
      </c>
      <c r="C46" s="74" t="s">
        <v>151</v>
      </c>
      <c r="D46" s="73">
        <v>852</v>
      </c>
      <c r="E46" s="73">
        <v>56</v>
      </c>
      <c r="F46" s="73">
        <v>600</v>
      </c>
      <c r="G46" s="73">
        <v>183</v>
      </c>
      <c r="H46" s="73">
        <v>4</v>
      </c>
      <c r="I46" s="73">
        <v>9</v>
      </c>
      <c r="J46" s="73">
        <v>0</v>
      </c>
      <c r="K46" s="73">
        <f t="shared" si="2"/>
        <v>13</v>
      </c>
      <c r="L46" s="73">
        <v>44</v>
      </c>
      <c r="N46" s="24"/>
    </row>
    <row r="47" spans="2:14">
      <c r="B47" s="98"/>
      <c r="C47" s="74" t="s">
        <v>33</v>
      </c>
      <c r="D47" s="73">
        <v>825</v>
      </c>
      <c r="E47" s="73">
        <v>199</v>
      </c>
      <c r="F47" s="73">
        <v>422</v>
      </c>
      <c r="G47" s="73">
        <v>195</v>
      </c>
      <c r="H47" s="73">
        <v>3</v>
      </c>
      <c r="I47" s="73">
        <v>6</v>
      </c>
      <c r="J47" s="73">
        <v>0</v>
      </c>
      <c r="K47" s="73">
        <f t="shared" si="2"/>
        <v>9</v>
      </c>
      <c r="L47" s="73">
        <v>32</v>
      </c>
      <c r="N47" s="24"/>
    </row>
    <row r="48" spans="2:14">
      <c r="B48" s="98"/>
      <c r="C48" s="79" t="s">
        <v>13</v>
      </c>
      <c r="D48" s="73">
        <v>1808</v>
      </c>
      <c r="E48" s="73">
        <v>138</v>
      </c>
      <c r="F48" s="73">
        <v>1650</v>
      </c>
      <c r="G48" s="73">
        <v>0</v>
      </c>
      <c r="H48" s="73">
        <v>9</v>
      </c>
      <c r="I48" s="73">
        <v>10</v>
      </c>
      <c r="J48" s="73">
        <v>1</v>
      </c>
      <c r="K48" s="73">
        <f t="shared" si="2"/>
        <v>20</v>
      </c>
      <c r="L48" s="73">
        <v>42</v>
      </c>
      <c r="N48" s="24"/>
    </row>
    <row r="49" spans="2:14">
      <c r="B49" s="98"/>
      <c r="C49" s="74" t="s">
        <v>15</v>
      </c>
      <c r="D49" s="73">
        <f>E49+F49+G49+K49</f>
        <v>1759</v>
      </c>
      <c r="E49" s="73">
        <v>117</v>
      </c>
      <c r="F49" s="73">
        <v>1257</v>
      </c>
      <c r="G49" s="73">
        <v>370</v>
      </c>
      <c r="H49" s="73">
        <v>6</v>
      </c>
      <c r="I49" s="73">
        <v>8</v>
      </c>
      <c r="J49" s="73">
        <v>1</v>
      </c>
      <c r="K49" s="73">
        <f t="shared" si="2"/>
        <v>15</v>
      </c>
      <c r="L49" s="73">
        <v>42</v>
      </c>
      <c r="N49" s="24"/>
    </row>
    <row r="50" spans="2:14">
      <c r="B50" s="98"/>
      <c r="C50" s="79" t="s">
        <v>12</v>
      </c>
      <c r="D50" s="73">
        <v>489</v>
      </c>
      <c r="E50" s="73">
        <v>163</v>
      </c>
      <c r="F50" s="73">
        <v>257</v>
      </c>
      <c r="G50" s="73">
        <v>56</v>
      </c>
      <c r="H50" s="73">
        <v>4</v>
      </c>
      <c r="I50" s="73">
        <v>8</v>
      </c>
      <c r="J50" s="73">
        <v>1</v>
      </c>
      <c r="K50" s="73">
        <f t="shared" si="2"/>
        <v>13</v>
      </c>
      <c r="L50" s="73">
        <v>120</v>
      </c>
      <c r="N50" s="24"/>
    </row>
    <row r="51" spans="2:14">
      <c r="B51" s="99"/>
      <c r="C51" s="75" t="s">
        <v>132</v>
      </c>
      <c r="D51" s="76">
        <f>SUM(D46:D50)</f>
        <v>5733</v>
      </c>
      <c r="E51" s="76">
        <f t="shared" ref="E51:L51" si="9">SUM(E46:E50)</f>
        <v>673</v>
      </c>
      <c r="F51" s="76">
        <f t="shared" si="9"/>
        <v>4186</v>
      </c>
      <c r="G51" s="76">
        <f t="shared" si="9"/>
        <v>804</v>
      </c>
      <c r="H51" s="76">
        <f t="shared" si="9"/>
        <v>26</v>
      </c>
      <c r="I51" s="76">
        <f t="shared" si="9"/>
        <v>41</v>
      </c>
      <c r="J51" s="76">
        <f t="shared" si="9"/>
        <v>3</v>
      </c>
      <c r="K51" s="76">
        <f t="shared" si="9"/>
        <v>70</v>
      </c>
      <c r="L51" s="76">
        <f t="shared" si="9"/>
        <v>280</v>
      </c>
      <c r="N51" s="24"/>
    </row>
    <row r="52" spans="2:14">
      <c r="B52" s="106" t="s">
        <v>152</v>
      </c>
      <c r="C52" s="74" t="s">
        <v>50</v>
      </c>
      <c r="D52" s="73">
        <v>207</v>
      </c>
      <c r="E52" s="73">
        <v>26</v>
      </c>
      <c r="F52" s="73">
        <v>135</v>
      </c>
      <c r="G52" s="73">
        <v>43</v>
      </c>
      <c r="H52" s="73">
        <v>1</v>
      </c>
      <c r="I52" s="73">
        <v>1</v>
      </c>
      <c r="J52" s="73">
        <v>1</v>
      </c>
      <c r="K52" s="73">
        <f t="shared" si="2"/>
        <v>3</v>
      </c>
      <c r="L52" s="73">
        <v>18</v>
      </c>
      <c r="N52" s="24"/>
    </row>
    <row r="53" spans="2:14">
      <c r="B53" s="107"/>
      <c r="C53" s="74" t="s">
        <v>152</v>
      </c>
      <c r="D53" s="73">
        <v>218</v>
      </c>
      <c r="E53" s="73">
        <v>48</v>
      </c>
      <c r="F53" s="73">
        <v>110</v>
      </c>
      <c r="G53" s="73">
        <v>52</v>
      </c>
      <c r="H53" s="73">
        <v>4</v>
      </c>
      <c r="I53" s="73">
        <v>3</v>
      </c>
      <c r="J53" s="73">
        <v>1</v>
      </c>
      <c r="K53" s="73">
        <f t="shared" si="2"/>
        <v>8</v>
      </c>
      <c r="L53" s="73">
        <v>16</v>
      </c>
      <c r="N53" s="24"/>
    </row>
    <row r="54" spans="2:14">
      <c r="B54" s="107"/>
      <c r="C54" s="74" t="s">
        <v>153</v>
      </c>
      <c r="D54" s="73">
        <v>210</v>
      </c>
      <c r="E54" s="73">
        <v>28</v>
      </c>
      <c r="F54" s="73">
        <v>149</v>
      </c>
      <c r="G54" s="73">
        <v>29</v>
      </c>
      <c r="H54" s="73">
        <v>3</v>
      </c>
      <c r="I54" s="73">
        <v>1</v>
      </c>
      <c r="J54" s="73">
        <v>0</v>
      </c>
      <c r="K54" s="73">
        <f t="shared" si="2"/>
        <v>4</v>
      </c>
      <c r="L54" s="73">
        <v>14</v>
      </c>
      <c r="N54" s="24"/>
    </row>
    <row r="55" spans="2:14">
      <c r="B55" s="107"/>
      <c r="C55" s="74" t="s">
        <v>154</v>
      </c>
      <c r="D55" s="73">
        <v>702</v>
      </c>
      <c r="E55" s="73">
        <v>45</v>
      </c>
      <c r="F55" s="73">
        <v>445</v>
      </c>
      <c r="G55" s="73">
        <v>205</v>
      </c>
      <c r="H55" s="73">
        <v>3</v>
      </c>
      <c r="I55" s="73">
        <v>4</v>
      </c>
      <c r="J55" s="73">
        <v>0</v>
      </c>
      <c r="K55" s="73">
        <f t="shared" si="2"/>
        <v>7</v>
      </c>
      <c r="L55" s="73">
        <v>6</v>
      </c>
      <c r="N55" s="24"/>
    </row>
    <row r="56" spans="2:14">
      <c r="B56" s="107"/>
      <c r="C56" s="74" t="s">
        <v>155</v>
      </c>
      <c r="D56" s="73">
        <v>124</v>
      </c>
      <c r="E56" s="73">
        <v>12</v>
      </c>
      <c r="F56" s="73">
        <v>104</v>
      </c>
      <c r="G56" s="73">
        <v>7</v>
      </c>
      <c r="H56" s="73">
        <v>1</v>
      </c>
      <c r="I56" s="73">
        <v>0</v>
      </c>
      <c r="J56" s="73">
        <v>0</v>
      </c>
      <c r="K56" s="73">
        <f t="shared" si="2"/>
        <v>1</v>
      </c>
      <c r="L56" s="73">
        <v>4</v>
      </c>
      <c r="N56" s="24"/>
    </row>
    <row r="57" spans="2:14">
      <c r="B57" s="108"/>
      <c r="C57" s="75" t="s">
        <v>132</v>
      </c>
      <c r="D57" s="76">
        <f>SUM(D52:D56)</f>
        <v>1461</v>
      </c>
      <c r="E57" s="76">
        <f t="shared" ref="E57:L57" si="10">SUM(E52:E56)</f>
        <v>159</v>
      </c>
      <c r="F57" s="76">
        <f t="shared" si="10"/>
        <v>943</v>
      </c>
      <c r="G57" s="76">
        <f t="shared" si="10"/>
        <v>336</v>
      </c>
      <c r="H57" s="76">
        <f t="shared" si="10"/>
        <v>12</v>
      </c>
      <c r="I57" s="76">
        <f t="shared" si="10"/>
        <v>9</v>
      </c>
      <c r="J57" s="76">
        <f t="shared" si="10"/>
        <v>2</v>
      </c>
      <c r="K57" s="76">
        <f t="shared" si="10"/>
        <v>23</v>
      </c>
      <c r="L57" s="76">
        <f t="shared" si="10"/>
        <v>58</v>
      </c>
      <c r="N57" s="24"/>
    </row>
    <row r="58" spans="2:14">
      <c r="B58" s="97" t="s">
        <v>46</v>
      </c>
      <c r="C58" s="74" t="s">
        <v>46</v>
      </c>
      <c r="D58" s="73">
        <f>354+203</f>
        <v>557</v>
      </c>
      <c r="E58" s="73">
        <f>71+37</f>
        <v>108</v>
      </c>
      <c r="F58" s="73">
        <f>149+79</f>
        <v>228</v>
      </c>
      <c r="G58" s="73">
        <f>131+83</f>
        <v>214</v>
      </c>
      <c r="H58" s="73">
        <v>2</v>
      </c>
      <c r="I58" s="73">
        <v>5</v>
      </c>
      <c r="J58" s="73">
        <v>0</v>
      </c>
      <c r="K58" s="73">
        <f t="shared" si="2"/>
        <v>7</v>
      </c>
      <c r="L58" s="73">
        <v>27</v>
      </c>
      <c r="N58" s="24"/>
    </row>
    <row r="59" spans="2:14">
      <c r="B59" s="98"/>
      <c r="C59" s="74" t="s">
        <v>47</v>
      </c>
      <c r="D59" s="73">
        <v>400</v>
      </c>
      <c r="E59" s="73">
        <f>50+16</f>
        <v>66</v>
      </c>
      <c r="F59" s="73">
        <f>213+45</f>
        <v>258</v>
      </c>
      <c r="G59" s="73">
        <f>51+15</f>
        <v>66</v>
      </c>
      <c r="H59" s="73">
        <v>6</v>
      </c>
      <c r="I59" s="73">
        <v>2</v>
      </c>
      <c r="J59" s="73">
        <v>2</v>
      </c>
      <c r="K59" s="73">
        <f t="shared" si="2"/>
        <v>10</v>
      </c>
      <c r="L59" s="73">
        <v>23</v>
      </c>
      <c r="N59" s="24"/>
    </row>
    <row r="60" spans="2:14">
      <c r="B60" s="98"/>
      <c r="C60" s="74" t="s">
        <v>156</v>
      </c>
      <c r="D60" s="73">
        <f>531+151</f>
        <v>682</v>
      </c>
      <c r="E60" s="73">
        <f>114+31</f>
        <v>145</v>
      </c>
      <c r="F60" s="73">
        <v>260</v>
      </c>
      <c r="G60" s="73">
        <f>207+59</f>
        <v>266</v>
      </c>
      <c r="H60" s="73">
        <v>2</v>
      </c>
      <c r="I60" s="73">
        <v>9</v>
      </c>
      <c r="J60" s="73">
        <v>0</v>
      </c>
      <c r="K60" s="73">
        <f t="shared" si="2"/>
        <v>11</v>
      </c>
      <c r="L60" s="73">
        <v>49</v>
      </c>
      <c r="N60" s="24"/>
    </row>
    <row r="61" spans="2:14">
      <c r="B61" s="98"/>
      <c r="C61" s="74" t="s">
        <v>45</v>
      </c>
      <c r="D61" s="73">
        <v>536</v>
      </c>
      <c r="E61" s="73">
        <v>51</v>
      </c>
      <c r="F61" s="73">
        <v>425</v>
      </c>
      <c r="G61" s="73">
        <v>54</v>
      </c>
      <c r="H61" s="73">
        <v>2</v>
      </c>
      <c r="I61" s="73">
        <v>3</v>
      </c>
      <c r="J61" s="73">
        <v>1</v>
      </c>
      <c r="K61" s="73">
        <f t="shared" si="2"/>
        <v>6</v>
      </c>
      <c r="L61" s="73">
        <v>12</v>
      </c>
      <c r="N61" s="24"/>
    </row>
    <row r="62" spans="2:14">
      <c r="B62" s="98"/>
      <c r="C62" s="74" t="s">
        <v>53</v>
      </c>
      <c r="D62" s="73">
        <v>321</v>
      </c>
      <c r="E62" s="73">
        <f>17+9+6</f>
        <v>32</v>
      </c>
      <c r="F62" s="73">
        <f>140+46+16</f>
        <v>202</v>
      </c>
      <c r="G62" s="73">
        <f>40+32+12</f>
        <v>84</v>
      </c>
      <c r="H62" s="73">
        <v>2</v>
      </c>
      <c r="I62" s="73">
        <v>0</v>
      </c>
      <c r="J62" s="73">
        <v>1</v>
      </c>
      <c r="K62" s="73">
        <f t="shared" si="2"/>
        <v>3</v>
      </c>
      <c r="L62" s="73">
        <v>20</v>
      </c>
      <c r="N62" s="24"/>
    </row>
    <row r="63" spans="2:14">
      <c r="B63" s="98"/>
      <c r="C63" s="79" t="s">
        <v>55</v>
      </c>
      <c r="D63" s="73">
        <f>92+41</f>
        <v>133</v>
      </c>
      <c r="E63" s="73">
        <v>15</v>
      </c>
      <c r="F63" s="73">
        <v>87</v>
      </c>
      <c r="G63" s="73">
        <v>31</v>
      </c>
      <c r="H63" s="73">
        <v>0</v>
      </c>
      <c r="I63" s="73">
        <v>0</v>
      </c>
      <c r="J63" s="73">
        <v>0</v>
      </c>
      <c r="K63" s="73">
        <v>0</v>
      </c>
      <c r="L63" s="73">
        <v>16</v>
      </c>
      <c r="N63" s="24"/>
    </row>
    <row r="64" spans="2:14">
      <c r="B64" s="99"/>
      <c r="C64" s="75" t="s">
        <v>132</v>
      </c>
      <c r="D64" s="76">
        <f>SUM(D58:D63)</f>
        <v>2629</v>
      </c>
      <c r="E64" s="76">
        <f t="shared" ref="E64:L64" si="11">SUM(E58:E63)</f>
        <v>417</v>
      </c>
      <c r="F64" s="76">
        <f t="shared" si="11"/>
        <v>1460</v>
      </c>
      <c r="G64" s="76">
        <f t="shared" si="11"/>
        <v>715</v>
      </c>
      <c r="H64" s="76">
        <f t="shared" si="11"/>
        <v>14</v>
      </c>
      <c r="I64" s="76">
        <f t="shared" si="11"/>
        <v>19</v>
      </c>
      <c r="J64" s="76">
        <f t="shared" si="11"/>
        <v>4</v>
      </c>
      <c r="K64" s="76">
        <f t="shared" si="11"/>
        <v>37</v>
      </c>
      <c r="L64" s="76">
        <f t="shared" si="11"/>
        <v>147</v>
      </c>
      <c r="N64" s="24"/>
    </row>
    <row r="65" spans="2:12" ht="25.5">
      <c r="B65" s="81"/>
      <c r="C65" s="82" t="s">
        <v>157</v>
      </c>
      <c r="D65" s="76">
        <f t="shared" ref="D65:L65" si="12">D64+D57+D51+D45+D38+D31+D25+D18+D11</f>
        <v>50093</v>
      </c>
      <c r="E65" s="76">
        <f t="shared" si="12"/>
        <v>6021</v>
      </c>
      <c r="F65" s="76">
        <f t="shared" si="12"/>
        <v>30803</v>
      </c>
      <c r="G65" s="76">
        <f t="shared" si="12"/>
        <v>12813</v>
      </c>
      <c r="H65" s="76">
        <f t="shared" si="12"/>
        <v>139</v>
      </c>
      <c r="I65" s="76">
        <f t="shared" si="12"/>
        <v>273</v>
      </c>
      <c r="J65" s="76">
        <f t="shared" si="12"/>
        <v>44</v>
      </c>
      <c r="K65" s="76">
        <f t="shared" si="12"/>
        <v>456</v>
      </c>
      <c r="L65" s="76">
        <f t="shared" si="12"/>
        <v>2130</v>
      </c>
    </row>
  </sheetData>
  <mergeCells count="12">
    <mergeCell ref="B58:B64"/>
    <mergeCell ref="A1:L1"/>
    <mergeCell ref="A3:E3"/>
    <mergeCell ref="B5:L5"/>
    <mergeCell ref="B8:B11"/>
    <mergeCell ref="B12:B18"/>
    <mergeCell ref="B19:B25"/>
    <mergeCell ref="B26:B31"/>
    <mergeCell ref="B32:B38"/>
    <mergeCell ref="B39:B45"/>
    <mergeCell ref="B46:B51"/>
    <mergeCell ref="B52:B57"/>
  </mergeCells>
  <pageMargins left="0.39370078740157483" right="0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P10" sqref="P10"/>
    </sheetView>
  </sheetViews>
  <sheetFormatPr baseColWidth="10" defaultRowHeight="15"/>
  <cols>
    <col min="1" max="1" width="2.140625" customWidth="1"/>
    <col min="2" max="2" width="32.28515625" customWidth="1"/>
    <col min="3" max="3" width="13.5703125" customWidth="1"/>
    <col min="4" max="4" width="11.140625" bestFit="1" customWidth="1"/>
    <col min="5" max="5" width="13.5703125" bestFit="1" customWidth="1"/>
    <col min="6" max="6" width="11.85546875" customWidth="1"/>
    <col min="7" max="7" width="8" customWidth="1"/>
    <col min="8" max="8" width="10.140625" customWidth="1"/>
    <col min="9" max="9" width="9.28515625" bestFit="1" customWidth="1"/>
    <col min="10" max="10" width="9.42578125" bestFit="1" customWidth="1"/>
    <col min="11" max="11" width="0" hidden="1" customWidth="1"/>
    <col min="12" max="12" width="8.42578125" bestFit="1" customWidth="1"/>
    <col min="13" max="13" width="10.42578125" customWidth="1"/>
  </cols>
  <sheetData>
    <row r="1" spans="1:14" ht="18.75">
      <c r="A1" s="109" t="s">
        <v>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4" ht="7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ht="18.75">
      <c r="A3" s="110" t="s">
        <v>66</v>
      </c>
      <c r="B3" s="110"/>
      <c r="C3" s="110"/>
      <c r="D3" s="110"/>
      <c r="E3" s="15"/>
      <c r="F3" s="15"/>
      <c r="G3" s="15"/>
      <c r="H3" s="15"/>
      <c r="I3" s="15"/>
      <c r="J3" s="15"/>
      <c r="K3" s="15"/>
      <c r="L3" s="15"/>
    </row>
    <row r="4" spans="1:14" ht="8.25" customHeight="1">
      <c r="A4" s="27"/>
      <c r="B4" s="27"/>
      <c r="C4" s="27"/>
      <c r="D4" s="27"/>
      <c r="E4" s="15"/>
      <c r="F4" s="15"/>
      <c r="G4" s="15"/>
      <c r="H4" s="15"/>
      <c r="I4" s="15"/>
      <c r="J4" s="15"/>
      <c r="K4" s="15"/>
      <c r="L4" s="15"/>
    </row>
    <row r="5" spans="1:14" ht="22.5">
      <c r="B5" s="111" t="s">
        <v>129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4" ht="12.75" customHeight="1">
      <c r="B6" s="16"/>
      <c r="C6" s="17"/>
      <c r="D6" s="17"/>
      <c r="E6" s="17"/>
      <c r="F6" s="17"/>
      <c r="G6" s="17"/>
      <c r="H6" s="17"/>
      <c r="I6" s="17"/>
      <c r="J6" s="17"/>
      <c r="K6" s="17"/>
      <c r="L6" s="16"/>
    </row>
    <row r="7" spans="1:14" ht="83.25" customHeight="1">
      <c r="B7" s="30" t="s">
        <v>67</v>
      </c>
      <c r="C7" s="31" t="s">
        <v>68</v>
      </c>
      <c r="D7" s="31" t="s">
        <v>69</v>
      </c>
      <c r="E7" s="31" t="s">
        <v>70</v>
      </c>
      <c r="F7" s="31" t="s">
        <v>71</v>
      </c>
      <c r="G7" s="32" t="s">
        <v>72</v>
      </c>
      <c r="H7" s="32" t="s">
        <v>73</v>
      </c>
      <c r="I7" s="32" t="s">
        <v>74</v>
      </c>
      <c r="J7" s="31" t="s">
        <v>85</v>
      </c>
      <c r="K7" s="31" t="s">
        <v>75</v>
      </c>
      <c r="L7" s="31" t="s">
        <v>76</v>
      </c>
    </row>
    <row r="8" spans="1:14" ht="33.75" customHeight="1">
      <c r="B8" s="33" t="s">
        <v>116</v>
      </c>
      <c r="C8" s="28">
        <f>Feuil4!D11</f>
        <v>6295</v>
      </c>
      <c r="D8" s="28">
        <f>Feuil4!E11</f>
        <v>779</v>
      </c>
      <c r="E8" s="28">
        <f>Feuil4!F11</f>
        <v>3395</v>
      </c>
      <c r="F8" s="28">
        <f>Feuil4!G11</f>
        <v>2090</v>
      </c>
      <c r="G8" s="28">
        <f>Feuil4!H11</f>
        <v>13</v>
      </c>
      <c r="H8" s="28">
        <f>Feuil4!I11</f>
        <v>18</v>
      </c>
      <c r="I8" s="28">
        <f>Feuil4!J11</f>
        <v>0</v>
      </c>
      <c r="J8" s="29">
        <f>G8+H8+I8</f>
        <v>31</v>
      </c>
      <c r="K8" s="28"/>
      <c r="L8" s="19">
        <f>Feuil4!L11</f>
        <v>294</v>
      </c>
      <c r="M8" s="24"/>
      <c r="N8" s="24"/>
    </row>
    <row r="9" spans="1:14" ht="45" customHeight="1">
      <c r="B9" s="33" t="s">
        <v>117</v>
      </c>
      <c r="C9" s="28">
        <f>Feuil4!D18</f>
        <v>9514</v>
      </c>
      <c r="D9" s="28">
        <f>Feuil4!E18</f>
        <v>1036</v>
      </c>
      <c r="E9" s="28">
        <f>Feuil4!F18</f>
        <v>6226</v>
      </c>
      <c r="F9" s="28">
        <f>Feuil4!G18</f>
        <v>2203</v>
      </c>
      <c r="G9" s="28">
        <f>Feuil4!H18</f>
        <v>11</v>
      </c>
      <c r="H9" s="28">
        <f>Feuil4!I18</f>
        <v>30</v>
      </c>
      <c r="I9" s="28">
        <f>Feuil4!J18</f>
        <v>8</v>
      </c>
      <c r="J9" s="29">
        <f t="shared" ref="J9:J16" si="0">G9+H9+I9</f>
        <v>49</v>
      </c>
      <c r="K9" s="28"/>
      <c r="L9" s="20">
        <f>Feuil4!L18</f>
        <v>279</v>
      </c>
      <c r="M9" s="24"/>
      <c r="N9" s="24"/>
    </row>
    <row r="10" spans="1:14" ht="41.25">
      <c r="B10" s="33" t="s">
        <v>118</v>
      </c>
      <c r="C10" s="28">
        <f>Feuil4!D31</f>
        <v>3466</v>
      </c>
      <c r="D10" s="28">
        <f>Feuil4!E31</f>
        <v>509</v>
      </c>
      <c r="E10" s="28">
        <f>Feuil4!F31</f>
        <v>2114</v>
      </c>
      <c r="F10" s="28">
        <f>Feuil4!G31</f>
        <v>797</v>
      </c>
      <c r="G10" s="28">
        <f>Feuil4!H31</f>
        <v>11</v>
      </c>
      <c r="H10" s="28">
        <f>Feuil4!I31</f>
        <v>32</v>
      </c>
      <c r="I10" s="28">
        <f>Feuil4!J31</f>
        <v>3</v>
      </c>
      <c r="J10" s="29">
        <f t="shared" si="0"/>
        <v>46</v>
      </c>
      <c r="K10" s="28"/>
      <c r="L10" s="20">
        <f>Feuil4!L31</f>
        <v>210</v>
      </c>
      <c r="M10" s="24"/>
      <c r="N10" s="24"/>
    </row>
    <row r="11" spans="1:14" ht="42">
      <c r="B11" s="18" t="s">
        <v>119</v>
      </c>
      <c r="C11" s="28">
        <f>Feuil4!D25</f>
        <v>11209</v>
      </c>
      <c r="D11" s="28">
        <f>Feuil4!E25</f>
        <v>1066</v>
      </c>
      <c r="E11" s="28">
        <f>Feuil4!F25</f>
        <v>7013</v>
      </c>
      <c r="F11" s="28">
        <f>Feuil4!G25</f>
        <v>3045</v>
      </c>
      <c r="G11" s="28">
        <f>Feuil4!H25</f>
        <v>21</v>
      </c>
      <c r="H11" s="28">
        <f>Feuil4!I25</f>
        <v>49</v>
      </c>
      <c r="I11" s="28">
        <f>Feuil4!J25</f>
        <v>15</v>
      </c>
      <c r="J11" s="29">
        <f t="shared" si="0"/>
        <v>85</v>
      </c>
      <c r="K11" s="28"/>
      <c r="L11" s="20">
        <f>Feuil4!L25</f>
        <v>326</v>
      </c>
      <c r="M11" s="24"/>
      <c r="N11" s="24"/>
    </row>
    <row r="12" spans="1:14" ht="44.25" customHeight="1">
      <c r="B12" s="33" t="s">
        <v>121</v>
      </c>
      <c r="C12" s="59">
        <f>Feuil4!D51</f>
        <v>5733</v>
      </c>
      <c r="D12" s="59">
        <f>Feuil4!E51</f>
        <v>673</v>
      </c>
      <c r="E12" s="59">
        <f>Feuil4!F51</f>
        <v>4186</v>
      </c>
      <c r="F12" s="59">
        <f>Feuil4!G51</f>
        <v>804</v>
      </c>
      <c r="G12" s="59">
        <f>Feuil4!H51</f>
        <v>26</v>
      </c>
      <c r="H12" s="59">
        <f>Feuil4!I51</f>
        <v>41</v>
      </c>
      <c r="I12" s="59">
        <f>Feuil4!J51</f>
        <v>3</v>
      </c>
      <c r="J12" s="29">
        <f t="shared" si="0"/>
        <v>70</v>
      </c>
      <c r="K12" s="28"/>
      <c r="L12" s="20">
        <f>Feuil4!L51</f>
        <v>280</v>
      </c>
      <c r="M12" s="24"/>
      <c r="N12" s="24"/>
    </row>
    <row r="13" spans="1:14" ht="43.5" customHeight="1">
      <c r="B13" s="18" t="s">
        <v>120</v>
      </c>
      <c r="C13" s="59">
        <f>Feuil4!D45</f>
        <v>4036</v>
      </c>
      <c r="D13" s="59">
        <f>Feuil4!E45</f>
        <v>659</v>
      </c>
      <c r="E13" s="59">
        <f>Feuil4!F45</f>
        <v>2360</v>
      </c>
      <c r="F13" s="59">
        <f>Feuil4!G45</f>
        <v>970</v>
      </c>
      <c r="G13" s="59">
        <f>Feuil4!H45</f>
        <v>14</v>
      </c>
      <c r="H13" s="59">
        <f>Feuil4!I45</f>
        <v>30</v>
      </c>
      <c r="I13" s="59">
        <f>Feuil4!J45</f>
        <v>3</v>
      </c>
      <c r="J13" s="29">
        <f t="shared" si="0"/>
        <v>47</v>
      </c>
      <c r="K13" s="28"/>
      <c r="L13" s="20">
        <f>Feuil4!L45</f>
        <v>270</v>
      </c>
      <c r="M13" s="24"/>
      <c r="N13" s="24"/>
    </row>
    <row r="14" spans="1:14" ht="43.5" customHeight="1">
      <c r="B14" s="33" t="s">
        <v>122</v>
      </c>
      <c r="C14" s="59">
        <f>Feuil4!D38</f>
        <v>5750</v>
      </c>
      <c r="D14" s="59">
        <f>Feuil4!E38</f>
        <v>723</v>
      </c>
      <c r="E14" s="59">
        <f>Feuil4!F38</f>
        <v>3106</v>
      </c>
      <c r="F14" s="59">
        <f>Feuil4!G38</f>
        <v>1853</v>
      </c>
      <c r="G14" s="59">
        <f>Feuil4!H38</f>
        <v>17</v>
      </c>
      <c r="H14" s="59">
        <f>Feuil4!I38</f>
        <v>45</v>
      </c>
      <c r="I14" s="59">
        <f>Feuil4!J38</f>
        <v>6</v>
      </c>
      <c r="J14" s="29">
        <f t="shared" si="0"/>
        <v>68</v>
      </c>
      <c r="K14" s="28"/>
      <c r="L14" s="20">
        <f>Feuil4!L38</f>
        <v>266</v>
      </c>
      <c r="M14" s="24"/>
      <c r="N14" s="24"/>
    </row>
    <row r="15" spans="1:14" ht="42">
      <c r="B15" s="18" t="s">
        <v>123</v>
      </c>
      <c r="C15" s="59">
        <f>Feuil4!D57</f>
        <v>1461</v>
      </c>
      <c r="D15" s="59">
        <f>Feuil4!E57</f>
        <v>159</v>
      </c>
      <c r="E15" s="59">
        <f>Feuil4!F57</f>
        <v>943</v>
      </c>
      <c r="F15" s="59">
        <f>Feuil4!G57</f>
        <v>336</v>
      </c>
      <c r="G15" s="59">
        <f>Feuil4!H57</f>
        <v>12</v>
      </c>
      <c r="H15" s="59">
        <f>Feuil4!I57</f>
        <v>9</v>
      </c>
      <c r="I15" s="59">
        <f>Feuil4!J57</f>
        <v>2</v>
      </c>
      <c r="J15" s="29">
        <f t="shared" si="0"/>
        <v>23</v>
      </c>
      <c r="K15" s="28"/>
      <c r="L15" s="20">
        <f>Feuil4!L57</f>
        <v>58</v>
      </c>
      <c r="M15" s="24"/>
      <c r="N15" s="24"/>
    </row>
    <row r="16" spans="1:14" ht="43.5" customHeight="1">
      <c r="B16" s="33" t="s">
        <v>124</v>
      </c>
      <c r="C16" s="28">
        <f>Feuil4!D64</f>
        <v>2629</v>
      </c>
      <c r="D16" s="28">
        <f>Feuil4!E64</f>
        <v>417</v>
      </c>
      <c r="E16" s="28">
        <f>Feuil4!F64</f>
        <v>1460</v>
      </c>
      <c r="F16" s="28">
        <f>Feuil4!G64</f>
        <v>715</v>
      </c>
      <c r="G16" s="28">
        <f>Feuil4!H64</f>
        <v>14</v>
      </c>
      <c r="H16" s="28">
        <f>Feuil4!I64</f>
        <v>19</v>
      </c>
      <c r="I16" s="28">
        <f>Feuil4!J64</f>
        <v>4</v>
      </c>
      <c r="J16" s="29">
        <f t="shared" si="0"/>
        <v>37</v>
      </c>
      <c r="K16" s="28"/>
      <c r="L16" s="20">
        <f>Feuil4!L64</f>
        <v>147</v>
      </c>
      <c r="M16" s="24"/>
      <c r="N16" s="24"/>
    </row>
    <row r="17" spans="2:14" ht="20.25" customHeight="1">
      <c r="B17" s="21" t="s">
        <v>77</v>
      </c>
      <c r="C17" s="22">
        <f>SUM(C8:C16)</f>
        <v>50093</v>
      </c>
      <c r="D17" s="22">
        <f>SUM(D8:D16)</f>
        <v>6021</v>
      </c>
      <c r="E17" s="22">
        <f>SUM(E8:E16)</f>
        <v>30803</v>
      </c>
      <c r="F17" s="22">
        <f>SUM(F8:F16)</f>
        <v>12813</v>
      </c>
      <c r="G17" s="23">
        <f>G8+G9+G10+G11+G12+G13+G14+G15+G16</f>
        <v>139</v>
      </c>
      <c r="H17" s="23">
        <f t="shared" ref="H17:I17" si="1">H8+H9+H10+H11+H12+H13+H14+H15+H16</f>
        <v>273</v>
      </c>
      <c r="I17" s="23">
        <f t="shared" si="1"/>
        <v>44</v>
      </c>
      <c r="J17" s="22">
        <f>SUM(J8:J16)</f>
        <v>456</v>
      </c>
      <c r="K17" s="22">
        <f>K8+K9+K10+K11+K12+K13+K14+K15+K16</f>
        <v>0</v>
      </c>
      <c r="L17" s="22">
        <f t="shared" ref="L17" si="2">SUM(L8:L16)</f>
        <v>2130</v>
      </c>
      <c r="M17" s="24"/>
      <c r="N17" s="24"/>
    </row>
    <row r="19" spans="2:14">
      <c r="J19" s="24"/>
    </row>
  </sheetData>
  <mergeCells count="3">
    <mergeCell ref="A1:L1"/>
    <mergeCell ref="A3:D3"/>
    <mergeCell ref="B5:L5"/>
  </mergeCells>
  <pageMargins left="0" right="0" top="0" bottom="0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G11"/>
  <sheetViews>
    <sheetView workbookViewId="0">
      <selection activeCell="C15" sqref="C15"/>
    </sheetView>
  </sheetViews>
  <sheetFormatPr baseColWidth="10" defaultRowHeight="15"/>
  <cols>
    <col min="1" max="1" width="17.85546875" customWidth="1"/>
    <col min="2" max="2" width="26.85546875" customWidth="1"/>
    <col min="3" max="3" width="15.85546875" customWidth="1"/>
    <col min="4" max="4" width="16.140625" customWidth="1"/>
    <col min="5" max="5" width="16.42578125" customWidth="1"/>
    <col min="6" max="6" width="14.28515625" customWidth="1"/>
    <col min="7" max="7" width="20.140625" customWidth="1"/>
  </cols>
  <sheetData>
    <row r="3" spans="1:7" ht="20.25">
      <c r="A3" s="112" t="s">
        <v>127</v>
      </c>
      <c r="B3" s="112"/>
      <c r="C3" s="112"/>
      <c r="D3" s="112"/>
      <c r="E3" s="112"/>
      <c r="F3" s="112"/>
      <c r="G3" s="112"/>
    </row>
    <row r="4" spans="1:7" ht="20.25">
      <c r="A4" s="114" t="s">
        <v>128</v>
      </c>
      <c r="B4" s="114"/>
      <c r="C4" s="114"/>
      <c r="D4" s="114"/>
      <c r="E4" s="114"/>
      <c r="F4" s="114"/>
      <c r="G4" s="114"/>
    </row>
    <row r="5" spans="1:7" ht="20.25">
      <c r="A5" s="60"/>
      <c r="B5" s="60"/>
      <c r="C5" s="60"/>
      <c r="D5" s="60"/>
      <c r="E5" s="60"/>
      <c r="F5" s="60"/>
      <c r="G5" s="60"/>
    </row>
    <row r="6" spans="1:7" ht="15.75" thickBot="1">
      <c r="A6" s="61"/>
      <c r="B6" s="61"/>
      <c r="C6" s="61"/>
      <c r="D6" s="61"/>
      <c r="E6" s="61"/>
      <c r="F6" s="61"/>
      <c r="G6" s="61"/>
    </row>
    <row r="7" spans="1:7" ht="15.75" thickBot="1">
      <c r="A7" s="115" t="s">
        <v>67</v>
      </c>
      <c r="B7" s="113" t="s">
        <v>79</v>
      </c>
      <c r="C7" s="113" t="s">
        <v>80</v>
      </c>
      <c r="D7" s="113" t="s">
        <v>81</v>
      </c>
      <c r="E7" s="113" t="s">
        <v>82</v>
      </c>
      <c r="F7" s="113" t="s">
        <v>83</v>
      </c>
      <c r="G7" s="113" t="s">
        <v>76</v>
      </c>
    </row>
    <row r="8" spans="1:7" ht="98.45" customHeight="1" thickBot="1">
      <c r="A8" s="115"/>
      <c r="B8" s="113"/>
      <c r="C8" s="113"/>
      <c r="D8" s="113"/>
      <c r="E8" s="113"/>
      <c r="F8" s="113"/>
      <c r="G8" s="113"/>
    </row>
    <row r="9" spans="1:7" ht="32.25" thickBot="1">
      <c r="A9" s="83" t="s">
        <v>125</v>
      </c>
      <c r="B9" s="63">
        <v>47599</v>
      </c>
      <c r="C9" s="63">
        <v>5823</v>
      </c>
      <c r="D9" s="63">
        <v>32479</v>
      </c>
      <c r="E9" s="63">
        <v>8829</v>
      </c>
      <c r="F9" s="63">
        <v>468</v>
      </c>
      <c r="G9" s="63">
        <v>1956</v>
      </c>
    </row>
    <row r="10" spans="1:7" ht="32.25" thickBot="1">
      <c r="A10" s="83" t="s">
        <v>126</v>
      </c>
      <c r="B10" s="63">
        <f>'T2'!C17</f>
        <v>50093</v>
      </c>
      <c r="C10" s="63">
        <f>'T2'!D17</f>
        <v>6021</v>
      </c>
      <c r="D10" s="63">
        <f>'T2'!E17</f>
        <v>30803</v>
      </c>
      <c r="E10" s="63">
        <f>'T2'!F17</f>
        <v>12813</v>
      </c>
      <c r="F10" s="63">
        <f>'T2'!J17</f>
        <v>456</v>
      </c>
      <c r="G10" s="63">
        <f>'T2'!L17</f>
        <v>2130</v>
      </c>
    </row>
    <row r="11" spans="1:7" ht="20.45" customHeight="1" thickBot="1">
      <c r="A11" s="62" t="s">
        <v>84</v>
      </c>
      <c r="B11" s="64">
        <f t="shared" ref="B11:G11" si="0">((B10-B9)/B9)*100</f>
        <v>5.2396058740729847</v>
      </c>
      <c r="C11" s="64">
        <f t="shared" si="0"/>
        <v>3.400309119010819</v>
      </c>
      <c r="D11" s="64">
        <f t="shared" si="0"/>
        <v>-5.1602573970873484</v>
      </c>
      <c r="E11" s="64">
        <f t="shared" si="0"/>
        <v>45.124023105674482</v>
      </c>
      <c r="F11" s="64">
        <f t="shared" si="0"/>
        <v>-2.5641025641025639</v>
      </c>
      <c r="G11" s="64">
        <f t="shared" si="0"/>
        <v>8.8957055214723919</v>
      </c>
    </row>
  </sheetData>
  <mergeCells count="9">
    <mergeCell ref="A3:G3"/>
    <mergeCell ref="F7:F8"/>
    <mergeCell ref="G7:G8"/>
    <mergeCell ref="A4:G4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C74" sqref="C74"/>
    </sheetView>
  </sheetViews>
  <sheetFormatPr baseColWidth="10" defaultRowHeight="15"/>
  <cols>
    <col min="2" max="2" width="20.28515625" bestFit="1" customWidth="1"/>
    <col min="3" max="3" width="15.28515625" customWidth="1"/>
    <col min="4" max="4" width="15.85546875" customWidth="1"/>
    <col min="5" max="5" width="8" customWidth="1"/>
    <col min="6" max="6" width="15.28515625" bestFit="1" customWidth="1"/>
    <col min="7" max="7" width="15.85546875" bestFit="1" customWidth="1"/>
    <col min="8" max="8" width="8" bestFit="1" customWidth="1"/>
  </cols>
  <sheetData>
    <row r="1" spans="1:9" ht="2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0.25">
      <c r="A2" s="1"/>
      <c r="B2" s="86" t="s">
        <v>1</v>
      </c>
      <c r="C2" s="86"/>
      <c r="D2" s="86"/>
      <c r="E2" s="86"/>
      <c r="F2" s="86"/>
      <c r="G2" s="86"/>
      <c r="H2" s="86"/>
      <c r="I2" s="86"/>
    </row>
    <row r="3" spans="1:9" ht="20.25">
      <c r="A3" s="84" t="s">
        <v>2</v>
      </c>
      <c r="B3" s="84"/>
      <c r="C3" s="84"/>
      <c r="D3" s="84"/>
      <c r="E3" s="84"/>
      <c r="F3" s="84"/>
      <c r="G3" s="84"/>
      <c r="H3" s="84"/>
      <c r="I3" s="84"/>
    </row>
    <row r="4" spans="1:9" ht="20.25">
      <c r="A4" s="84" t="s">
        <v>3</v>
      </c>
      <c r="B4" s="84"/>
      <c r="C4" s="84"/>
      <c r="D4" s="84"/>
      <c r="E4" s="84"/>
      <c r="F4" s="84"/>
      <c r="G4" s="84"/>
      <c r="H4" s="84"/>
      <c r="I4" s="84"/>
    </row>
    <row r="5" spans="1:9" ht="17.25" customHeight="1">
      <c r="B5" s="25"/>
      <c r="C5" s="25"/>
      <c r="D5" s="25"/>
      <c r="E5" s="25"/>
      <c r="F5" s="25"/>
      <c r="G5" s="25"/>
      <c r="H5" s="25"/>
    </row>
    <row r="6" spans="1:9" ht="14.25" customHeight="1">
      <c r="A6" s="94" t="s">
        <v>78</v>
      </c>
      <c r="B6" s="94"/>
      <c r="C6" s="94"/>
      <c r="D6" s="94"/>
      <c r="E6" s="94"/>
      <c r="F6" s="94"/>
      <c r="G6" s="94"/>
      <c r="H6" s="94"/>
    </row>
    <row r="7" spans="1:9" ht="15.75" thickBot="1"/>
    <row r="8" spans="1:9" ht="15.75" thickBot="1">
      <c r="C8" s="87" t="s">
        <v>58</v>
      </c>
      <c r="D8" s="88"/>
      <c r="E8" s="89"/>
      <c r="F8" s="87" t="s">
        <v>4</v>
      </c>
      <c r="G8" s="88"/>
      <c r="H8" s="89"/>
    </row>
    <row r="9" spans="1:9" ht="43.5" thickBot="1">
      <c r="B9" s="3" t="s">
        <v>5</v>
      </c>
      <c r="C9" s="4" t="s">
        <v>6</v>
      </c>
      <c r="D9" s="4" t="s">
        <v>7</v>
      </c>
      <c r="E9" s="4" t="s">
        <v>8</v>
      </c>
      <c r="F9" s="4" t="s">
        <v>6</v>
      </c>
      <c r="G9" s="4" t="s">
        <v>7</v>
      </c>
      <c r="H9" s="4" t="s">
        <v>8</v>
      </c>
      <c r="I9" s="4" t="s">
        <v>8</v>
      </c>
    </row>
    <row r="10" spans="1:9" ht="16.5" thickBot="1">
      <c r="B10" s="5" t="s">
        <v>25</v>
      </c>
      <c r="C10" s="6">
        <f>172+3897+1027+4+8</f>
        <v>5108</v>
      </c>
      <c r="D10" s="6">
        <v>348</v>
      </c>
      <c r="E10" s="7">
        <f t="shared" ref="E10:E57" si="0">D10/C10</f>
        <v>6.8128425998433828E-2</v>
      </c>
      <c r="F10" s="6">
        <f>427+3897+2723+5+8</f>
        <v>7060</v>
      </c>
      <c r="G10" s="6">
        <f>109+601+481+4+5</f>
        <v>1200</v>
      </c>
      <c r="H10" s="7">
        <f t="shared" ref="H10:H57" si="1">G10/F10</f>
        <v>0.16997167138810199</v>
      </c>
      <c r="I10" s="7">
        <f t="shared" ref="I10:I57" si="2">G10/D10</f>
        <v>3.4482758620689653</v>
      </c>
    </row>
    <row r="11" spans="1:9" ht="16.5" thickBot="1">
      <c r="B11" s="5" t="s">
        <v>24</v>
      </c>
      <c r="C11" s="6">
        <f>233+2872+955+1+2+2</f>
        <v>4065</v>
      </c>
      <c r="D11" s="6">
        <v>513</v>
      </c>
      <c r="E11" s="7">
        <f t="shared" si="0"/>
        <v>0.12619926199261994</v>
      </c>
      <c r="F11" s="6">
        <f>116+2872+955+2+7+2</f>
        <v>3954</v>
      </c>
      <c r="G11" s="6">
        <f>74+950+350+2+6+2</f>
        <v>1384</v>
      </c>
      <c r="H11" s="7">
        <f t="shared" si="1"/>
        <v>0.35002529084471423</v>
      </c>
      <c r="I11" s="7">
        <f t="shared" si="2"/>
        <v>2.6978557504873293</v>
      </c>
    </row>
    <row r="12" spans="1:9" ht="16.5" thickBot="1">
      <c r="B12" s="8" t="s">
        <v>17</v>
      </c>
      <c r="C12" s="6">
        <f>197+2717+495+6+9</f>
        <v>3424</v>
      </c>
      <c r="D12" s="6">
        <v>743</v>
      </c>
      <c r="E12" s="7">
        <f t="shared" si="0"/>
        <v>0.21699766355140188</v>
      </c>
      <c r="F12" s="6">
        <f>198+2800+786+6+9</f>
        <v>3799</v>
      </c>
      <c r="G12" s="6">
        <v>1701</v>
      </c>
      <c r="H12" s="7">
        <f t="shared" si="1"/>
        <v>0.44774940773887867</v>
      </c>
      <c r="I12" s="7">
        <f t="shared" si="2"/>
        <v>2.2893674293405115</v>
      </c>
    </row>
    <row r="13" spans="1:9" ht="16.5" thickBot="1">
      <c r="B13" s="5" t="s">
        <v>42</v>
      </c>
      <c r="C13" s="6">
        <f>160+550+310+2+19</f>
        <v>1041</v>
      </c>
      <c r="D13" s="6">
        <v>280</v>
      </c>
      <c r="E13" s="7">
        <f t="shared" si="0"/>
        <v>0.26897214217098941</v>
      </c>
      <c r="F13" s="6">
        <f>160+550+310+2+19</f>
        <v>1041</v>
      </c>
      <c r="G13" s="6">
        <f>78+314+212+2+9</f>
        <v>615</v>
      </c>
      <c r="H13" s="7">
        <f t="shared" si="1"/>
        <v>0.59077809798270897</v>
      </c>
      <c r="I13" s="7">
        <f t="shared" si="2"/>
        <v>2.1964285714285716</v>
      </c>
    </row>
    <row r="14" spans="1:9" ht="16.5" thickBot="1">
      <c r="B14" s="5" t="s">
        <v>22</v>
      </c>
      <c r="C14" s="6">
        <f>455+6460+4528+3+8+1</f>
        <v>11455</v>
      </c>
      <c r="D14" s="6">
        <v>836</v>
      </c>
      <c r="E14" s="7">
        <f t="shared" si="0"/>
        <v>7.2981230903535574E-2</v>
      </c>
      <c r="F14" s="6">
        <f>476+6460+4528+3+8+1</f>
        <v>11476</v>
      </c>
      <c r="G14" s="6">
        <f>147+571+810+3+7+1</f>
        <v>1539</v>
      </c>
      <c r="H14" s="7">
        <f t="shared" si="1"/>
        <v>0.13410596026490065</v>
      </c>
      <c r="I14" s="7">
        <f t="shared" si="2"/>
        <v>1.8409090909090908</v>
      </c>
    </row>
    <row r="15" spans="1:9" ht="16.5" customHeight="1" thickBot="1">
      <c r="B15" s="5" t="s">
        <v>9</v>
      </c>
      <c r="C15" s="6">
        <v>7666</v>
      </c>
      <c r="D15" s="6">
        <v>4105</v>
      </c>
      <c r="E15" s="7">
        <f t="shared" si="0"/>
        <v>0.53548134620401777</v>
      </c>
      <c r="F15" s="6">
        <f>646+3915+3737+10+9</f>
        <v>8317</v>
      </c>
      <c r="G15" s="6">
        <f>612+3622+3286+10+5</f>
        <v>7535</v>
      </c>
      <c r="H15" s="7">
        <f t="shared" si="1"/>
        <v>0.90597571239629671</v>
      </c>
      <c r="I15" s="7">
        <f>G15/D15</f>
        <v>1.835566382460414</v>
      </c>
    </row>
    <row r="16" spans="1:9" ht="16.5" customHeight="1" thickBot="1">
      <c r="B16" s="8" t="s">
        <v>33</v>
      </c>
      <c r="C16" s="6">
        <f>147+406+350+4+6</f>
        <v>913</v>
      </c>
      <c r="D16" s="6">
        <v>499</v>
      </c>
      <c r="E16" s="7">
        <f t="shared" si="0"/>
        <v>0.54654983570646221</v>
      </c>
      <c r="F16" s="6">
        <f>147+1430+350+4+6</f>
        <v>1937</v>
      </c>
      <c r="G16" s="6">
        <v>883</v>
      </c>
      <c r="H16" s="7">
        <f t="shared" si="1"/>
        <v>0.45585957666494581</v>
      </c>
      <c r="I16" s="7">
        <f t="shared" si="2"/>
        <v>1.7695390781563127</v>
      </c>
    </row>
    <row r="17" spans="2:9" ht="16.5" customHeight="1" thickBot="1">
      <c r="B17" s="5" t="s">
        <v>31</v>
      </c>
      <c r="C17" s="6">
        <f>206+6186+125+26</f>
        <v>6543</v>
      </c>
      <c r="D17" s="6">
        <v>522</v>
      </c>
      <c r="E17" s="7">
        <f t="shared" si="0"/>
        <v>7.9779917469050887E-2</v>
      </c>
      <c r="F17" s="6">
        <f>206+6186+125+26+4</f>
        <v>6547</v>
      </c>
      <c r="G17" s="6">
        <f>75+718+120+2+3</f>
        <v>918</v>
      </c>
      <c r="H17" s="7">
        <f t="shared" si="1"/>
        <v>0.14021689323354208</v>
      </c>
      <c r="I17" s="7">
        <f t="shared" si="2"/>
        <v>1.7586206896551724</v>
      </c>
    </row>
    <row r="18" spans="2:9" ht="16.5" customHeight="1" thickBot="1">
      <c r="B18" s="5" t="s">
        <v>55</v>
      </c>
      <c r="C18" s="6">
        <f>17+165+110</f>
        <v>292</v>
      </c>
      <c r="D18" s="6">
        <v>80</v>
      </c>
      <c r="E18" s="7">
        <f t="shared" si="0"/>
        <v>0.27397260273972601</v>
      </c>
      <c r="F18" s="6">
        <f>17+165+110</f>
        <v>292</v>
      </c>
      <c r="G18" s="6">
        <f>16+83+37</f>
        <v>136</v>
      </c>
      <c r="H18" s="7">
        <f t="shared" si="1"/>
        <v>0.46575342465753422</v>
      </c>
      <c r="I18" s="7">
        <f t="shared" si="2"/>
        <v>1.7</v>
      </c>
    </row>
    <row r="19" spans="2:9" ht="16.5" customHeight="1" thickBot="1">
      <c r="B19" s="5" t="s">
        <v>43</v>
      </c>
      <c r="C19" s="6">
        <f>251+6039+1083+2+11+5</f>
        <v>7391</v>
      </c>
      <c r="D19" s="6">
        <v>371</v>
      </c>
      <c r="E19" s="7">
        <f t="shared" si="0"/>
        <v>5.0196184548775537E-2</v>
      </c>
      <c r="F19" s="6">
        <f>270+6039+1083+2+11+5</f>
        <v>7410</v>
      </c>
      <c r="G19" s="6">
        <f>129+381+92+2+7+4</f>
        <v>615</v>
      </c>
      <c r="H19" s="7">
        <f t="shared" si="1"/>
        <v>8.2995951417004055E-2</v>
      </c>
      <c r="I19" s="7">
        <f t="shared" si="2"/>
        <v>1.6576819407008085</v>
      </c>
    </row>
    <row r="20" spans="2:9" ht="16.5" customHeight="1" thickBot="1">
      <c r="B20" s="9" t="s">
        <v>49</v>
      </c>
      <c r="C20" s="6">
        <f>427+1871+599+2+3+2</f>
        <v>2904</v>
      </c>
      <c r="D20" s="6">
        <v>298</v>
      </c>
      <c r="E20" s="7">
        <f t="shared" si="0"/>
        <v>0.10261707988980716</v>
      </c>
      <c r="F20" s="6">
        <f>386+1781+461+7+6+6</f>
        <v>2647</v>
      </c>
      <c r="G20" s="6">
        <f>46+387+41+1+3+2</f>
        <v>480</v>
      </c>
      <c r="H20" s="7">
        <f t="shared" si="1"/>
        <v>0.18133736305251227</v>
      </c>
      <c r="I20" s="7">
        <f t="shared" si="2"/>
        <v>1.6107382550335569</v>
      </c>
    </row>
    <row r="21" spans="2:9" ht="16.5" thickBot="1">
      <c r="B21" s="8" t="s">
        <v>12</v>
      </c>
      <c r="C21" s="6">
        <f>252+3272+58+4+52+1</f>
        <v>3639</v>
      </c>
      <c r="D21" s="6">
        <v>1924</v>
      </c>
      <c r="E21" s="7">
        <f t="shared" si="0"/>
        <v>0.52871668040670516</v>
      </c>
      <c r="F21" s="6">
        <f>252+3272+1132+4+52+1</f>
        <v>4713</v>
      </c>
      <c r="G21" s="6">
        <v>2862</v>
      </c>
      <c r="H21" s="7">
        <f t="shared" si="1"/>
        <v>0.60725652450668366</v>
      </c>
      <c r="I21" s="7">
        <f t="shared" si="2"/>
        <v>1.4875259875259876</v>
      </c>
    </row>
    <row r="22" spans="2:9" ht="16.5" thickBot="1">
      <c r="B22" s="5" t="s">
        <v>11</v>
      </c>
      <c r="C22" s="6">
        <f>280+5567+5609+4+10+2</f>
        <v>11472</v>
      </c>
      <c r="D22" s="6">
        <v>2961</v>
      </c>
      <c r="E22" s="7">
        <f t="shared" si="0"/>
        <v>0.25810669456066948</v>
      </c>
      <c r="F22" s="6">
        <f>523+5562+5609+4+10+2</f>
        <v>11710</v>
      </c>
      <c r="G22" s="6">
        <f>192+2500+1600+3+5+2</f>
        <v>4302</v>
      </c>
      <c r="H22" s="7">
        <f t="shared" si="1"/>
        <v>0.36737830913748931</v>
      </c>
      <c r="I22" s="7">
        <f t="shared" si="2"/>
        <v>1.452887537993921</v>
      </c>
    </row>
    <row r="23" spans="2:9" ht="16.5" thickBot="1">
      <c r="B23" s="5" t="s">
        <v>35</v>
      </c>
      <c r="C23" s="6">
        <f>400+4001+302+17+58</f>
        <v>4778</v>
      </c>
      <c r="D23" s="6">
        <v>600</v>
      </c>
      <c r="E23" s="7">
        <f t="shared" si="0"/>
        <v>0.12557555462536626</v>
      </c>
      <c r="F23" s="6">
        <f>403+3985+1676+17+58</f>
        <v>6139</v>
      </c>
      <c r="G23" s="6">
        <f>153+450+229+3+23</f>
        <v>858</v>
      </c>
      <c r="H23" s="7">
        <f t="shared" si="1"/>
        <v>0.13976217625020362</v>
      </c>
      <c r="I23" s="7">
        <f t="shared" si="2"/>
        <v>1.43</v>
      </c>
    </row>
    <row r="24" spans="2:9" ht="16.5" thickBot="1">
      <c r="B24" s="5" t="s">
        <v>53</v>
      </c>
      <c r="C24" s="6">
        <f>68+248+197+2+1</f>
        <v>516</v>
      </c>
      <c r="D24" s="6">
        <v>175</v>
      </c>
      <c r="E24" s="7">
        <f t="shared" si="0"/>
        <v>0.33914728682170542</v>
      </c>
      <c r="F24" s="6">
        <f>38+248+120+2+1</f>
        <v>409</v>
      </c>
      <c r="G24" s="6">
        <f>22+143+66+2+1</f>
        <v>234</v>
      </c>
      <c r="H24" s="7">
        <f t="shared" si="1"/>
        <v>0.57212713936430315</v>
      </c>
      <c r="I24" s="7">
        <f t="shared" si="2"/>
        <v>1.3371428571428572</v>
      </c>
    </row>
    <row r="25" spans="2:9" ht="16.5" thickBot="1">
      <c r="B25" s="9" t="s">
        <v>44</v>
      </c>
      <c r="C25" s="6">
        <f>266+3522+783+33+86</f>
        <v>4690</v>
      </c>
      <c r="D25" s="6">
        <v>456</v>
      </c>
      <c r="E25" s="7">
        <f t="shared" si="0"/>
        <v>9.7228144989339016E-2</v>
      </c>
      <c r="F25" s="6">
        <f>316+3295+592+33+86</f>
        <v>4322</v>
      </c>
      <c r="G25" s="6">
        <f>107+382+103+4+7</f>
        <v>603</v>
      </c>
      <c r="H25" s="7">
        <f t="shared" si="1"/>
        <v>0.13951874132346137</v>
      </c>
      <c r="I25" s="7">
        <f t="shared" si="2"/>
        <v>1.3223684210526316</v>
      </c>
    </row>
    <row r="26" spans="2:9" ht="16.5" thickBot="1">
      <c r="B26" s="5" t="s">
        <v>45</v>
      </c>
      <c r="C26" s="6">
        <f>80+680+238+3</f>
        <v>1001</v>
      </c>
      <c r="D26" s="6">
        <v>456</v>
      </c>
      <c r="E26" s="7">
        <f t="shared" si="0"/>
        <v>0.45554445554445555</v>
      </c>
      <c r="F26" s="6">
        <f>80+680+238+3</f>
        <v>1001</v>
      </c>
      <c r="G26" s="6">
        <f>50+475+74+1</f>
        <v>600</v>
      </c>
      <c r="H26" s="7">
        <f t="shared" si="1"/>
        <v>0.59940059940059942</v>
      </c>
      <c r="I26" s="7">
        <f t="shared" si="2"/>
        <v>1.3157894736842106</v>
      </c>
    </row>
    <row r="27" spans="2:9" ht="16.5" thickBot="1">
      <c r="B27" s="5" t="s">
        <v>39</v>
      </c>
      <c r="C27" s="6">
        <f>146+1805+716+4+9</f>
        <v>2680</v>
      </c>
      <c r="D27" s="6">
        <v>523</v>
      </c>
      <c r="E27" s="7">
        <f t="shared" si="0"/>
        <v>0.19514925373134329</v>
      </c>
      <c r="F27" s="6">
        <f>148+1810+720+4+9</f>
        <v>2691</v>
      </c>
      <c r="G27" s="6">
        <f>48+471+152+3+4</f>
        <v>678</v>
      </c>
      <c r="H27" s="7">
        <f t="shared" si="1"/>
        <v>0.25195094760312153</v>
      </c>
      <c r="I27" s="7">
        <f t="shared" si="2"/>
        <v>1.2963671128107075</v>
      </c>
    </row>
    <row r="28" spans="2:9" ht="16.5" thickBot="1">
      <c r="B28" s="5" t="s">
        <v>14</v>
      </c>
      <c r="C28" s="6">
        <f>739+5193+2518+5+7</f>
        <v>8462</v>
      </c>
      <c r="D28" s="6">
        <v>2104</v>
      </c>
      <c r="E28" s="7">
        <f t="shared" si="0"/>
        <v>0.24864098321909714</v>
      </c>
      <c r="F28" s="6">
        <f>707+5193+2518+5+7</f>
        <v>8430</v>
      </c>
      <c r="G28" s="6">
        <f>176+1266+1209+4+6</f>
        <v>2661</v>
      </c>
      <c r="H28" s="7">
        <f t="shared" si="1"/>
        <v>0.31565836298932387</v>
      </c>
      <c r="I28" s="7">
        <f t="shared" si="2"/>
        <v>1.2647338403041826</v>
      </c>
    </row>
    <row r="29" spans="2:9" ht="16.5" thickBot="1">
      <c r="B29" s="5" t="s">
        <v>52</v>
      </c>
      <c r="C29" s="6">
        <f>85+1520+8371+6</f>
        <v>9982</v>
      </c>
      <c r="D29" s="6">
        <v>200</v>
      </c>
      <c r="E29" s="7">
        <f t="shared" si="0"/>
        <v>2.0036064916850331E-2</v>
      </c>
      <c r="F29" s="6">
        <f>86+1520+871+1+6</f>
        <v>2484</v>
      </c>
      <c r="G29" s="6">
        <f>25+185+29+1+6</f>
        <v>246</v>
      </c>
      <c r="H29" s="7">
        <f t="shared" si="1"/>
        <v>9.9033816425120769E-2</v>
      </c>
      <c r="I29" s="7">
        <f t="shared" si="2"/>
        <v>1.23</v>
      </c>
    </row>
    <row r="30" spans="2:9" ht="16.5" thickBot="1">
      <c r="B30" s="5" t="s">
        <v>29</v>
      </c>
      <c r="C30" s="6">
        <f>285+3273+1607+2+34+3</f>
        <v>5204</v>
      </c>
      <c r="D30" s="6">
        <v>756</v>
      </c>
      <c r="E30" s="7">
        <f t="shared" si="0"/>
        <v>0.1452728670253651</v>
      </c>
      <c r="F30" s="6">
        <f>299+3273+1607+1+13+3</f>
        <v>5196</v>
      </c>
      <c r="G30" s="6">
        <f>130+507+276+1+12+1</f>
        <v>927</v>
      </c>
      <c r="H30" s="7">
        <f t="shared" si="1"/>
        <v>0.17840646651270209</v>
      </c>
      <c r="I30" s="7">
        <f t="shared" si="2"/>
        <v>1.2261904761904763</v>
      </c>
    </row>
    <row r="31" spans="2:9" ht="16.5" thickBot="1">
      <c r="B31" s="5" t="s">
        <v>56</v>
      </c>
      <c r="C31" s="6">
        <f>52+895+7+2</f>
        <v>956</v>
      </c>
      <c r="D31" s="6">
        <v>108</v>
      </c>
      <c r="E31" s="7">
        <f t="shared" si="0"/>
        <v>0.11297071129707113</v>
      </c>
      <c r="F31" s="6">
        <f>52+895+7+2</f>
        <v>956</v>
      </c>
      <c r="G31" s="6">
        <f>12+110+7+2</f>
        <v>131</v>
      </c>
      <c r="H31" s="7">
        <f t="shared" si="1"/>
        <v>0.13702928870292888</v>
      </c>
      <c r="I31" s="7">
        <f t="shared" si="2"/>
        <v>1.212962962962963</v>
      </c>
    </row>
    <row r="32" spans="2:9" ht="16.5" thickBot="1">
      <c r="B32" s="5" t="s">
        <v>16</v>
      </c>
      <c r="C32" s="6">
        <f>373+3118+484+12+14+22</f>
        <v>4023</v>
      </c>
      <c r="D32" s="6">
        <v>1934</v>
      </c>
      <c r="E32" s="7">
        <f t="shared" si="0"/>
        <v>0.48073576932637335</v>
      </c>
      <c r="F32" s="6">
        <f>334+3268+466+13+14+21</f>
        <v>4116</v>
      </c>
      <c r="G32" s="6">
        <f>183+1665+475+4+5</f>
        <v>2332</v>
      </c>
      <c r="H32" s="7">
        <f t="shared" si="1"/>
        <v>0.5665694849368319</v>
      </c>
      <c r="I32" s="7">
        <f t="shared" si="2"/>
        <v>1.2057911065149949</v>
      </c>
    </row>
    <row r="33" spans="2:9" ht="16.5" thickBot="1">
      <c r="B33" s="9" t="s">
        <v>54</v>
      </c>
      <c r="C33" s="6">
        <f>138+1250+200+1+1</f>
        <v>1590</v>
      </c>
      <c r="D33" s="6">
        <v>152</v>
      </c>
      <c r="E33" s="7">
        <f t="shared" si="0"/>
        <v>9.5597484276729566E-2</v>
      </c>
      <c r="F33" s="6">
        <f>141+1133+239+1+1+2</f>
        <v>1517</v>
      </c>
      <c r="G33" s="6">
        <f>34+98+47+1+1</f>
        <v>181</v>
      </c>
      <c r="H33" s="7">
        <f t="shared" si="1"/>
        <v>0.11931443638760712</v>
      </c>
      <c r="I33" s="7">
        <f t="shared" si="2"/>
        <v>1.1907894736842106</v>
      </c>
    </row>
    <row r="34" spans="2:9" ht="16.5" thickBot="1">
      <c r="B34" s="9" t="s">
        <v>36</v>
      </c>
      <c r="C34" s="6">
        <f>209+9426+240+8+23</f>
        <v>9906</v>
      </c>
      <c r="D34" s="6">
        <v>685</v>
      </c>
      <c r="E34" s="7">
        <f t="shared" si="0"/>
        <v>6.9150010094891981E-2</v>
      </c>
      <c r="F34" s="6">
        <f>392+4110+899+8+23</f>
        <v>5432</v>
      </c>
      <c r="G34" s="6">
        <f>102+463+215+6+10</f>
        <v>796</v>
      </c>
      <c r="H34" s="7">
        <f t="shared" si="1"/>
        <v>0.14653902798232696</v>
      </c>
      <c r="I34" s="7">
        <f t="shared" si="2"/>
        <v>1.1620437956204379</v>
      </c>
    </row>
    <row r="35" spans="2:9" ht="16.5" thickBot="1">
      <c r="B35" s="5" t="s">
        <v>41</v>
      </c>
      <c r="C35" s="6">
        <f>470+5230+3750+22+45+28</f>
        <v>9545</v>
      </c>
      <c r="D35" s="6">
        <v>577</v>
      </c>
      <c r="E35" s="7">
        <f t="shared" si="0"/>
        <v>6.0450497642744891E-2</v>
      </c>
      <c r="F35" s="6">
        <f>494+5251+3750+22+45+28</f>
        <v>9590</v>
      </c>
      <c r="G35" s="6">
        <f>102+360+198+2+5+1</f>
        <v>668</v>
      </c>
      <c r="H35" s="7">
        <f t="shared" si="1"/>
        <v>6.9655891553701776E-2</v>
      </c>
      <c r="I35" s="7">
        <f t="shared" si="2"/>
        <v>1.1577123050259965</v>
      </c>
    </row>
    <row r="36" spans="2:9" ht="16.5" thickBot="1">
      <c r="B36" s="5" t="s">
        <v>37</v>
      </c>
      <c r="C36" s="6">
        <f>358+2970+2877+8+5</f>
        <v>6218</v>
      </c>
      <c r="D36" s="6">
        <v>685</v>
      </c>
      <c r="E36" s="7">
        <f t="shared" si="0"/>
        <v>0.11016403988420714</v>
      </c>
      <c r="F36" s="6">
        <f>335+2970+2877+8+5+1</f>
        <v>6196</v>
      </c>
      <c r="G36" s="6">
        <f>104+442+232+7+5+1</f>
        <v>791</v>
      </c>
      <c r="H36" s="7">
        <f t="shared" si="1"/>
        <v>0.1276630083925113</v>
      </c>
      <c r="I36" s="7">
        <f t="shared" si="2"/>
        <v>1.1547445255474453</v>
      </c>
    </row>
    <row r="37" spans="2:9" ht="16.5" thickBot="1">
      <c r="B37" s="5" t="s">
        <v>28</v>
      </c>
      <c r="C37" s="6">
        <f>134+3070+141+3+18+2</f>
        <v>3368</v>
      </c>
      <c r="D37" s="6">
        <v>845</v>
      </c>
      <c r="E37" s="7">
        <f t="shared" si="0"/>
        <v>0.25089073634204273</v>
      </c>
      <c r="F37" s="6">
        <f>171+3070+141+3+18+2</f>
        <v>3405</v>
      </c>
      <c r="G37" s="6">
        <f>101+828+33+3+7+2</f>
        <v>974</v>
      </c>
      <c r="H37" s="7">
        <f t="shared" si="1"/>
        <v>0.28604992657856093</v>
      </c>
      <c r="I37" s="7">
        <f t="shared" si="2"/>
        <v>1.1526627218934911</v>
      </c>
    </row>
    <row r="38" spans="2:9" ht="16.5" thickBot="1">
      <c r="B38" s="5" t="s">
        <v>23</v>
      </c>
      <c r="C38" s="6">
        <f>235+1350+840+3+13+3</f>
        <v>2444</v>
      </c>
      <c r="D38" s="6">
        <v>1230</v>
      </c>
      <c r="E38" s="7">
        <f t="shared" si="0"/>
        <v>0.50327332242225864</v>
      </c>
      <c r="F38" s="6">
        <f>255+1450+660+3+13+3</f>
        <v>2384</v>
      </c>
      <c r="G38" s="6">
        <f>137+864+400+3+6+3</f>
        <v>1413</v>
      </c>
      <c r="H38" s="7">
        <f t="shared" si="1"/>
        <v>0.59270134228187921</v>
      </c>
      <c r="I38" s="7">
        <f t="shared" si="2"/>
        <v>1.148780487804878</v>
      </c>
    </row>
    <row r="39" spans="2:9" ht="16.5" thickBot="1">
      <c r="B39" s="5" t="s">
        <v>10</v>
      </c>
      <c r="C39" s="6">
        <f>382+6117+4826+6+17+1</f>
        <v>11349</v>
      </c>
      <c r="D39" s="6">
        <v>4991</v>
      </c>
      <c r="E39" s="7">
        <f t="shared" si="0"/>
        <v>0.43977442946515111</v>
      </c>
      <c r="F39" s="6">
        <f>382+6122+4837+6+17+1</f>
        <v>11365</v>
      </c>
      <c r="G39" s="6">
        <f>195+3654+1794+2+2+1</f>
        <v>5648</v>
      </c>
      <c r="H39" s="7">
        <f t="shared" si="1"/>
        <v>0.49696436427628682</v>
      </c>
      <c r="I39" s="7">
        <f t="shared" si="2"/>
        <v>1.1316369465037066</v>
      </c>
    </row>
    <row r="40" spans="2:9" ht="16.5" thickBot="1">
      <c r="B40" s="5" t="s">
        <v>46</v>
      </c>
      <c r="C40" s="6">
        <f>124+442+628+2+7</f>
        <v>1203</v>
      </c>
      <c r="D40" s="6">
        <v>529</v>
      </c>
      <c r="E40" s="7">
        <f t="shared" si="0"/>
        <v>0.43973399833748961</v>
      </c>
      <c r="F40" s="6">
        <f>150+782+649+2+7</f>
        <v>1590</v>
      </c>
      <c r="G40" s="6">
        <f>101+262+214+2+5</f>
        <v>584</v>
      </c>
      <c r="H40" s="7">
        <f t="shared" si="1"/>
        <v>0.3672955974842767</v>
      </c>
      <c r="I40" s="7">
        <f t="shared" si="2"/>
        <v>1.1039697542533082</v>
      </c>
    </row>
    <row r="41" spans="2:9" ht="16.5" thickBot="1">
      <c r="B41" s="5" t="s">
        <v>40</v>
      </c>
      <c r="C41" s="6">
        <f>260+2830+1154+19+21+15</f>
        <v>4299</v>
      </c>
      <c r="D41" s="6">
        <v>619</v>
      </c>
      <c r="E41" s="7">
        <f t="shared" si="0"/>
        <v>0.14398697371481739</v>
      </c>
      <c r="F41" s="6">
        <f>207+2830+1154+19+21+15</f>
        <v>4246</v>
      </c>
      <c r="G41" s="6">
        <f>70+440+161+2+5</f>
        <v>678</v>
      </c>
      <c r="H41" s="7">
        <f t="shared" si="1"/>
        <v>0.15967969853980216</v>
      </c>
      <c r="I41" s="7">
        <f t="shared" si="2"/>
        <v>1.0953150242326333</v>
      </c>
    </row>
    <row r="42" spans="2:9" ht="16.5" thickBot="1">
      <c r="B42" s="5" t="s">
        <v>19</v>
      </c>
      <c r="C42" s="6">
        <v>6114</v>
      </c>
      <c r="D42" s="6">
        <v>1509</v>
      </c>
      <c r="E42" s="7">
        <f t="shared" si="0"/>
        <v>0.24681059862610402</v>
      </c>
      <c r="F42" s="6">
        <f>384+3165+2510+5+10</f>
        <v>6074</v>
      </c>
      <c r="G42" s="6">
        <f>178+989+466+5+9</f>
        <v>1647</v>
      </c>
      <c r="H42" s="7">
        <f t="shared" si="1"/>
        <v>0.27115574580177809</v>
      </c>
      <c r="I42" s="7">
        <f t="shared" si="2"/>
        <v>1.0914512922465209</v>
      </c>
    </row>
    <row r="43" spans="2:9" ht="16.5" thickBot="1">
      <c r="B43" s="5" t="s">
        <v>21</v>
      </c>
      <c r="C43" s="6">
        <f>128+2988+44+2+8+3</f>
        <v>3173</v>
      </c>
      <c r="D43" s="6">
        <v>1433</v>
      </c>
      <c r="E43" s="7">
        <f t="shared" si="0"/>
        <v>0.45162306965017335</v>
      </c>
      <c r="F43" s="6">
        <f>138+2988+42+2+9+3</f>
        <v>3182</v>
      </c>
      <c r="G43" s="6">
        <f>116+1378+42+2+9+3</f>
        <v>1550</v>
      </c>
      <c r="H43" s="7">
        <f t="shared" si="1"/>
        <v>0.4871150219987429</v>
      </c>
      <c r="I43" s="7">
        <f t="shared" si="2"/>
        <v>1.0816468946266573</v>
      </c>
    </row>
    <row r="44" spans="2:9" ht="12.75" customHeight="1" thickBot="1">
      <c r="B44" s="5" t="s">
        <v>26</v>
      </c>
      <c r="C44" s="6">
        <f>194+4973+3464+6+19+12</f>
        <v>8668</v>
      </c>
      <c r="D44" s="6">
        <v>1018</v>
      </c>
      <c r="E44" s="7">
        <f t="shared" si="0"/>
        <v>0.1174434702353484</v>
      </c>
      <c r="F44" s="6">
        <f>273+4973+3464+6+19+12</f>
        <v>8747</v>
      </c>
      <c r="G44" s="6">
        <f>115+645+306+5+11+6</f>
        <v>1088</v>
      </c>
      <c r="H44" s="7">
        <f t="shared" si="1"/>
        <v>0.12438550360123471</v>
      </c>
      <c r="I44" s="7">
        <f t="shared" si="2"/>
        <v>1.068762278978389</v>
      </c>
    </row>
    <row r="45" spans="2:9" ht="14.25" customHeight="1" thickBot="1">
      <c r="B45" s="9" t="s">
        <v>34</v>
      </c>
      <c r="C45" s="6">
        <f>777+4792+2413+2+6+1</f>
        <v>7991</v>
      </c>
      <c r="D45" s="6">
        <v>822</v>
      </c>
      <c r="E45" s="7">
        <f t="shared" si="0"/>
        <v>0.10286572393943186</v>
      </c>
      <c r="F45" s="6">
        <f>730+5918+649+2+3+1</f>
        <v>7303</v>
      </c>
      <c r="G45" s="6">
        <f>129+479+260+2+3+1</f>
        <v>874</v>
      </c>
      <c r="H45" s="7">
        <f t="shared" si="1"/>
        <v>0.11967684513213747</v>
      </c>
      <c r="I45" s="7">
        <f t="shared" si="2"/>
        <v>1.0632603406326033</v>
      </c>
    </row>
    <row r="46" spans="2:9" ht="16.5" thickBot="1">
      <c r="B46" s="5" t="s">
        <v>48</v>
      </c>
      <c r="C46" s="6">
        <f>113+1900+180+2+8</f>
        <v>2203</v>
      </c>
      <c r="D46" s="6">
        <v>500</v>
      </c>
      <c r="E46" s="7">
        <f t="shared" si="0"/>
        <v>0.22696323195642307</v>
      </c>
      <c r="F46" s="6">
        <f>113+1900+180+2+8</f>
        <v>2203</v>
      </c>
      <c r="G46" s="6">
        <f>69+340+108+1+8</f>
        <v>526</v>
      </c>
      <c r="H46" s="7">
        <f t="shared" si="1"/>
        <v>0.23876532001815706</v>
      </c>
      <c r="I46" s="7">
        <f t="shared" si="2"/>
        <v>1.052</v>
      </c>
    </row>
    <row r="47" spans="2:9" ht="15" customHeight="1" thickBot="1">
      <c r="B47" s="5" t="s">
        <v>32</v>
      </c>
      <c r="C47" s="6">
        <f>275+2972+2017+3+3</f>
        <v>5270</v>
      </c>
      <c r="D47" s="6">
        <v>853</v>
      </c>
      <c r="E47" s="7">
        <f t="shared" si="0"/>
        <v>0.1618595825426945</v>
      </c>
      <c r="F47" s="6">
        <f>275+2972+2017+3+3</f>
        <v>5270</v>
      </c>
      <c r="G47" s="6">
        <f>177+428+274+2+3</f>
        <v>884</v>
      </c>
      <c r="H47" s="7">
        <f t="shared" si="1"/>
        <v>0.16774193548387098</v>
      </c>
      <c r="I47" s="7">
        <f t="shared" si="2"/>
        <v>1.0363423212192262</v>
      </c>
    </row>
    <row r="48" spans="2:9" ht="13.5" customHeight="1" thickBot="1">
      <c r="B48" s="8" t="s">
        <v>13</v>
      </c>
      <c r="C48" s="6">
        <f>124+4875+7+9</f>
        <v>5015</v>
      </c>
      <c r="D48" s="6">
        <v>2607</v>
      </c>
      <c r="E48" s="7">
        <f t="shared" si="0"/>
        <v>0.51984047856430704</v>
      </c>
      <c r="F48" s="6">
        <f>129+4519+8101+83</f>
        <v>12832</v>
      </c>
      <c r="G48" s="6">
        <v>2695</v>
      </c>
      <c r="H48" s="7">
        <f t="shared" si="1"/>
        <v>0.21002182044887779</v>
      </c>
      <c r="I48" s="7">
        <f t="shared" si="2"/>
        <v>1.0337552742616034</v>
      </c>
    </row>
    <row r="49" spans="2:9" ht="16.5" thickBot="1">
      <c r="B49" s="5" t="s">
        <v>20</v>
      </c>
      <c r="C49" s="6">
        <f>198+3000+3500+2+9+3</f>
        <v>6712</v>
      </c>
      <c r="D49" s="6">
        <v>1570</v>
      </c>
      <c r="E49" s="7">
        <f t="shared" si="0"/>
        <v>0.23390941597139453</v>
      </c>
      <c r="F49" s="6">
        <f>198+3000+3500+2+9+3</f>
        <v>6712</v>
      </c>
      <c r="G49" s="6">
        <f>190+1007+377+2+7+3</f>
        <v>1586</v>
      </c>
      <c r="H49" s="7">
        <f t="shared" si="1"/>
        <v>0.2362932061978546</v>
      </c>
      <c r="I49" s="7">
        <f t="shared" si="2"/>
        <v>1.0101910828025478</v>
      </c>
    </row>
    <row r="50" spans="2:9" ht="16.5" thickBot="1">
      <c r="B50" s="8" t="s">
        <v>15</v>
      </c>
      <c r="C50" s="6">
        <f>210+4961+2277+15+11+1</f>
        <v>7475</v>
      </c>
      <c r="D50" s="6">
        <v>2429</v>
      </c>
      <c r="E50" s="7">
        <f t="shared" si="0"/>
        <v>0.32494983277591971</v>
      </c>
      <c r="F50" s="6">
        <f>255+3420+1820+15+13+1</f>
        <v>5524</v>
      </c>
      <c r="G50" s="6">
        <v>2451</v>
      </c>
      <c r="H50" s="7">
        <f t="shared" si="1"/>
        <v>0.44370021723388847</v>
      </c>
      <c r="I50" s="7">
        <f t="shared" si="2"/>
        <v>1.0090572251955536</v>
      </c>
    </row>
    <row r="51" spans="2:9" ht="16.5" thickBot="1">
      <c r="B51" s="5" t="s">
        <v>47</v>
      </c>
      <c r="C51" s="6">
        <f>112+736+470+9+3+1</f>
        <v>1331</v>
      </c>
      <c r="D51" s="6">
        <v>533</v>
      </c>
      <c r="E51" s="7">
        <f t="shared" si="0"/>
        <v>0.40045078888054092</v>
      </c>
      <c r="F51" s="6">
        <f>112+744+220+9+3+1</f>
        <v>1089</v>
      </c>
      <c r="G51" s="6">
        <f>56+413+62+3+1+1</f>
        <v>536</v>
      </c>
      <c r="H51" s="7">
        <f t="shared" si="1"/>
        <v>0.49219467401285583</v>
      </c>
      <c r="I51" s="7">
        <f t="shared" si="2"/>
        <v>1.0056285178236397</v>
      </c>
    </row>
    <row r="52" spans="2:9" ht="14.25" customHeight="1" thickBot="1">
      <c r="B52" s="5" t="s">
        <v>38</v>
      </c>
      <c r="C52" s="6">
        <f>139+1595+70+5+6+1</f>
        <v>1816</v>
      </c>
      <c r="D52" s="6">
        <v>755</v>
      </c>
      <c r="E52" s="7">
        <f t="shared" si="0"/>
        <v>0.41574889867841408</v>
      </c>
      <c r="F52" s="6">
        <f>140+1621+247+5+6+1</f>
        <v>2020</v>
      </c>
      <c r="G52" s="6">
        <f>130+466+124+4+3+1</f>
        <v>728</v>
      </c>
      <c r="H52" s="7">
        <f t="shared" si="1"/>
        <v>0.36039603960396038</v>
      </c>
      <c r="I52" s="7">
        <f t="shared" si="2"/>
        <v>0.96423841059602644</v>
      </c>
    </row>
    <row r="53" spans="2:9" ht="12" customHeight="1" thickBot="1">
      <c r="B53" s="5" t="s">
        <v>18</v>
      </c>
      <c r="C53" s="6">
        <f>279+2918+590+2+2</f>
        <v>3791</v>
      </c>
      <c r="D53" s="6">
        <v>1786</v>
      </c>
      <c r="E53" s="7">
        <f t="shared" si="0"/>
        <v>0.47111580058032182</v>
      </c>
      <c r="F53" s="6">
        <f>279+2918+590+2+2</f>
        <v>3791</v>
      </c>
      <c r="G53" s="6">
        <f>140+1136+381+2+1</f>
        <v>1660</v>
      </c>
      <c r="H53" s="7">
        <f t="shared" si="1"/>
        <v>0.43787918754945926</v>
      </c>
      <c r="I53" s="7">
        <f t="shared" si="2"/>
        <v>0.92945128779395292</v>
      </c>
    </row>
    <row r="54" spans="2:9" ht="16.5" thickBot="1">
      <c r="B54" s="5" t="s">
        <v>50</v>
      </c>
      <c r="C54" s="6">
        <f>224+1169+515+2+10+6</f>
        <v>1926</v>
      </c>
      <c r="D54" s="6">
        <v>386</v>
      </c>
      <c r="E54" s="7">
        <f t="shared" si="0"/>
        <v>0.20041536863966772</v>
      </c>
      <c r="F54" s="6">
        <f>224+1169+515+3+11+6</f>
        <v>1928</v>
      </c>
      <c r="G54" s="6">
        <f>55+201+85+1+1+1</f>
        <v>344</v>
      </c>
      <c r="H54" s="7">
        <f t="shared" si="1"/>
        <v>0.17842323651452283</v>
      </c>
      <c r="I54" s="7">
        <f t="shared" si="2"/>
        <v>0.89119170984455953</v>
      </c>
    </row>
    <row r="55" spans="2:9" ht="16.5" thickBot="1">
      <c r="B55" s="5" t="s">
        <v>51</v>
      </c>
      <c r="C55" s="6">
        <f>96+1307+385+3+4</f>
        <v>1795</v>
      </c>
      <c r="D55" s="6">
        <v>400</v>
      </c>
      <c r="E55" s="7">
        <f t="shared" si="0"/>
        <v>0.22284122562674094</v>
      </c>
      <c r="F55" s="6">
        <f>96+1307+385+3+4</f>
        <v>1795</v>
      </c>
      <c r="G55" s="6">
        <f>56+137+89+3+4</f>
        <v>289</v>
      </c>
      <c r="H55" s="7">
        <f t="shared" si="1"/>
        <v>0.16100278551532032</v>
      </c>
      <c r="I55" s="7">
        <f t="shared" si="2"/>
        <v>0.72250000000000003</v>
      </c>
    </row>
    <row r="56" spans="2:9" ht="16.5" thickBot="1">
      <c r="B56" s="5" t="s">
        <v>27</v>
      </c>
      <c r="C56" s="6">
        <v>3539</v>
      </c>
      <c r="D56" s="6">
        <v>1722</v>
      </c>
      <c r="E56" s="7">
        <f t="shared" si="0"/>
        <v>0.48657812941508899</v>
      </c>
      <c r="F56" s="6">
        <f>122+1015+589+2+2</f>
        <v>1730</v>
      </c>
      <c r="G56" s="6">
        <f>103+668+305+2+2</f>
        <v>1080</v>
      </c>
      <c r="H56" s="7">
        <f t="shared" si="1"/>
        <v>0.62427745664739887</v>
      </c>
      <c r="I56" s="7">
        <f t="shared" si="2"/>
        <v>0.62717770034843201</v>
      </c>
    </row>
    <row r="57" spans="2:9" ht="16.5" thickBot="1">
      <c r="B57" s="9" t="s">
        <v>30</v>
      </c>
      <c r="C57" s="6">
        <f>438+3587+4510+4+3</f>
        <v>8542</v>
      </c>
      <c r="D57" s="6">
        <v>1551</v>
      </c>
      <c r="E57" s="7">
        <f t="shared" si="0"/>
        <v>0.18157340201357997</v>
      </c>
      <c r="F57" s="6">
        <f>433+3601+675+4+3</f>
        <v>4716</v>
      </c>
      <c r="G57" s="6">
        <f>216+505+197+4+3</f>
        <v>925</v>
      </c>
      <c r="H57" s="7">
        <f t="shared" si="1"/>
        <v>0.19614079728583544</v>
      </c>
      <c r="I57" s="7">
        <f t="shared" si="2"/>
        <v>0.59638942617666024</v>
      </c>
    </row>
    <row r="58" spans="2:9" ht="16.5" thickBot="1">
      <c r="B58" s="5" t="s">
        <v>57</v>
      </c>
      <c r="C58" s="6">
        <f>SUM(C10:C57)</f>
        <v>233488</v>
      </c>
      <c r="D58" s="6">
        <f t="shared" ref="D58:H58" si="3">SUM(D10:D57)</f>
        <v>50979</v>
      </c>
      <c r="E58" s="6">
        <f t="shared" si="3"/>
        <v>12.227010667915645</v>
      </c>
      <c r="F58" s="6">
        <f t="shared" si="3"/>
        <v>227288</v>
      </c>
      <c r="G58" s="6">
        <f>SUM(G10:G57)</f>
        <v>64036</v>
      </c>
      <c r="H58" s="6">
        <f t="shared" si="3"/>
        <v>15.013894293316762</v>
      </c>
      <c r="I58" s="7">
        <f>SUM(I10:I57)/100</f>
        <v>0.64067441623536125</v>
      </c>
    </row>
  </sheetData>
  <autoFilter ref="B9:I57">
    <sortState ref="B10:I58">
      <sortCondition descending="1" ref="I9:I58"/>
    </sortState>
  </autoFilter>
  <sortState ref="B10:I57">
    <sortCondition descending="1" ref="H57"/>
  </sortState>
  <mergeCells count="7">
    <mergeCell ref="C8:E8"/>
    <mergeCell ref="F8:H8"/>
    <mergeCell ref="A1:I1"/>
    <mergeCell ref="B2:I2"/>
    <mergeCell ref="A3:I3"/>
    <mergeCell ref="A4:I4"/>
    <mergeCell ref="A6:H6"/>
  </mergeCells>
  <pageMargins left="0" right="0" top="0.59055118110236227" bottom="0" header="0.39370078740157483" footer="0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8"/>
  <sheetViews>
    <sheetView topLeftCell="A34" workbookViewId="0">
      <selection activeCell="N6" sqref="N6"/>
    </sheetView>
  </sheetViews>
  <sheetFormatPr baseColWidth="10" defaultRowHeight="15"/>
  <cols>
    <col min="2" max="2" width="10" bestFit="1" customWidth="1"/>
    <col min="3" max="3" width="20.28515625" bestFit="1" customWidth="1"/>
    <col min="4" max="4" width="15.28515625" customWidth="1"/>
    <col min="5" max="5" width="15.85546875" customWidth="1"/>
    <col min="6" max="6" width="15.85546875" bestFit="1" customWidth="1"/>
  </cols>
  <sheetData>
    <row r="1" spans="1:6" ht="20.25">
      <c r="B1" s="86" t="s">
        <v>0</v>
      </c>
      <c r="C1" s="86"/>
      <c r="D1" s="86"/>
      <c r="E1" s="86"/>
      <c r="F1" s="86"/>
    </row>
    <row r="2" spans="1:6" ht="20.25">
      <c r="B2" s="1"/>
      <c r="C2" s="86" t="s">
        <v>1</v>
      </c>
      <c r="D2" s="86"/>
      <c r="E2" s="86"/>
      <c r="F2" s="86"/>
    </row>
    <row r="3" spans="1:6" ht="20.25">
      <c r="B3" s="84" t="s">
        <v>2</v>
      </c>
      <c r="C3" s="84"/>
      <c r="D3" s="84"/>
      <c r="E3" s="84"/>
      <c r="F3" s="84"/>
    </row>
    <row r="4" spans="1:6" ht="20.25">
      <c r="B4" s="84" t="s">
        <v>3</v>
      </c>
      <c r="C4" s="84"/>
      <c r="D4" s="84"/>
      <c r="E4" s="84"/>
      <c r="F4" s="84"/>
    </row>
    <row r="5" spans="1:6" ht="17.25" customHeight="1">
      <c r="B5" s="34"/>
      <c r="C5" s="34"/>
      <c r="D5" s="34"/>
      <c r="E5" s="34"/>
      <c r="F5" s="34"/>
    </row>
    <row r="6" spans="1:6" ht="14.25" customHeight="1">
      <c r="A6" s="85" t="s">
        <v>87</v>
      </c>
      <c r="B6" s="85"/>
      <c r="C6" s="85"/>
      <c r="D6" s="85"/>
      <c r="E6" s="85"/>
      <c r="F6" s="85"/>
    </row>
    <row r="7" spans="1:6">
      <c r="A7" s="85"/>
      <c r="B7" s="85"/>
      <c r="C7" s="85"/>
      <c r="D7" s="85"/>
      <c r="E7" s="85"/>
      <c r="F7" s="85"/>
    </row>
    <row r="8" spans="1:6" ht="15.75" thickBot="1"/>
    <row r="9" spans="1:6" ht="15.75" thickBot="1">
      <c r="D9" s="87" t="s">
        <v>7</v>
      </c>
      <c r="E9" s="88"/>
      <c r="F9" s="89"/>
    </row>
    <row r="10" spans="1:6" ht="29.25" thickBot="1">
      <c r="B10" s="3" t="s">
        <v>59</v>
      </c>
      <c r="C10" s="3" t="s">
        <v>5</v>
      </c>
      <c r="D10" s="4" t="s">
        <v>86</v>
      </c>
      <c r="E10" s="4" t="s">
        <v>58</v>
      </c>
      <c r="F10" s="4" t="s">
        <v>4</v>
      </c>
    </row>
    <row r="11" spans="1:6" ht="16.5" thickBot="1">
      <c r="B11" s="95" t="s">
        <v>49</v>
      </c>
      <c r="C11" s="9" t="s">
        <v>36</v>
      </c>
      <c r="D11" s="6">
        <v>634</v>
      </c>
      <c r="E11" s="6">
        <v>685</v>
      </c>
      <c r="F11" s="6">
        <f>102+463+215+6+10</f>
        <v>796</v>
      </c>
    </row>
    <row r="12" spans="1:6" ht="16.5" thickBot="1">
      <c r="B12" s="95"/>
      <c r="C12" s="9" t="s">
        <v>30</v>
      </c>
      <c r="D12" s="6">
        <v>1256</v>
      </c>
      <c r="E12" s="6">
        <v>1551</v>
      </c>
      <c r="F12" s="6">
        <f>216+505+197+4+3</f>
        <v>925</v>
      </c>
    </row>
    <row r="13" spans="1:6" ht="16.5" thickBot="1">
      <c r="B13" s="95"/>
      <c r="C13" s="9" t="s">
        <v>44</v>
      </c>
      <c r="D13" s="6">
        <v>530</v>
      </c>
      <c r="E13" s="6">
        <v>456</v>
      </c>
      <c r="F13" s="6">
        <f>107+382+103+4+7</f>
        <v>603</v>
      </c>
    </row>
    <row r="14" spans="1:6" ht="16.5" thickBot="1">
      <c r="B14" s="95"/>
      <c r="C14" s="9" t="s">
        <v>49</v>
      </c>
      <c r="D14" s="6">
        <v>308</v>
      </c>
      <c r="E14" s="6">
        <v>298</v>
      </c>
      <c r="F14" s="6">
        <f>46+387+41+1+3+2</f>
        <v>480</v>
      </c>
    </row>
    <row r="15" spans="1:6" ht="16.5" thickBot="1">
      <c r="B15" s="95"/>
      <c r="C15" s="9" t="s">
        <v>34</v>
      </c>
      <c r="D15" s="6">
        <v>883</v>
      </c>
      <c r="E15" s="6">
        <v>822</v>
      </c>
      <c r="F15" s="6">
        <f>129+479+260+2+3+1</f>
        <v>874</v>
      </c>
    </row>
    <row r="16" spans="1:6" ht="16.5" thickBot="1">
      <c r="B16" s="95"/>
      <c r="C16" s="9" t="s">
        <v>54</v>
      </c>
      <c r="D16" s="6">
        <v>161</v>
      </c>
      <c r="E16" s="6">
        <v>152</v>
      </c>
      <c r="F16" s="6">
        <f>34+98+47+1+1</f>
        <v>181</v>
      </c>
    </row>
    <row r="17" spans="2:6" ht="16.5" thickBot="1">
      <c r="B17" s="95"/>
      <c r="C17" s="10" t="s">
        <v>60</v>
      </c>
      <c r="D17" s="11">
        <f>SUM(D11:D16)</f>
        <v>3772</v>
      </c>
      <c r="E17" s="11">
        <f>SUM(E11:E16)</f>
        <v>3964</v>
      </c>
      <c r="F17" s="11">
        <f>SUM(F11:F16)</f>
        <v>3859</v>
      </c>
    </row>
    <row r="18" spans="2:6" ht="16.5" thickBot="1">
      <c r="B18" s="96" t="s">
        <v>46</v>
      </c>
      <c r="C18" s="5" t="s">
        <v>46</v>
      </c>
      <c r="D18" s="6">
        <v>510</v>
      </c>
      <c r="E18" s="6">
        <v>529</v>
      </c>
      <c r="F18" s="6">
        <f>101+262+214+2+5</f>
        <v>584</v>
      </c>
    </row>
    <row r="19" spans="2:6" ht="16.5" thickBot="1">
      <c r="B19" s="96"/>
      <c r="C19" s="5" t="s">
        <v>47</v>
      </c>
      <c r="D19" s="6">
        <v>350</v>
      </c>
      <c r="E19" s="6">
        <v>533</v>
      </c>
      <c r="F19" s="6">
        <f>56+413+62+3+1+1</f>
        <v>536</v>
      </c>
    </row>
    <row r="20" spans="2:6" ht="16.5" thickBot="1">
      <c r="B20" s="96"/>
      <c r="C20" s="5" t="s">
        <v>42</v>
      </c>
      <c r="D20" s="6">
        <v>518</v>
      </c>
      <c r="E20" s="6">
        <v>280</v>
      </c>
      <c r="F20" s="6">
        <f>78+314+212+2+9</f>
        <v>615</v>
      </c>
    </row>
    <row r="21" spans="2:6" ht="16.5" thickBot="1">
      <c r="B21" s="96"/>
      <c r="C21" s="5" t="s">
        <v>55</v>
      </c>
      <c r="D21" s="6">
        <v>111</v>
      </c>
      <c r="E21" s="6">
        <v>80</v>
      </c>
      <c r="F21" s="6">
        <f>16+83+37</f>
        <v>136</v>
      </c>
    </row>
    <row r="22" spans="2:6" ht="16.5" thickBot="1">
      <c r="B22" s="96"/>
      <c r="C22" s="5" t="s">
        <v>53</v>
      </c>
      <c r="D22" s="6">
        <v>187</v>
      </c>
      <c r="E22" s="6">
        <v>175</v>
      </c>
      <c r="F22" s="6">
        <f>22+143+66+2+1</f>
        <v>234</v>
      </c>
    </row>
    <row r="23" spans="2:6" ht="16.5" thickBot="1">
      <c r="B23" s="96"/>
      <c r="C23" s="5" t="s">
        <v>45</v>
      </c>
      <c r="D23" s="6">
        <v>1145</v>
      </c>
      <c r="E23" s="6">
        <v>456</v>
      </c>
      <c r="F23" s="6">
        <f>50+475+74+1</f>
        <v>600</v>
      </c>
    </row>
    <row r="24" spans="2:6" ht="16.5" thickBot="1">
      <c r="B24" s="96"/>
      <c r="C24" s="10" t="s">
        <v>60</v>
      </c>
      <c r="D24" s="11">
        <f>SUM(D18:D23)</f>
        <v>2821</v>
      </c>
      <c r="E24" s="11">
        <f>SUM(E18:E23)</f>
        <v>2053</v>
      </c>
      <c r="F24" s="11">
        <f>SUM(F18:F23)</f>
        <v>2705</v>
      </c>
    </row>
    <row r="25" spans="2:6" ht="16.5" thickBot="1">
      <c r="B25" s="91" t="s">
        <v>9</v>
      </c>
      <c r="C25" s="5" t="s">
        <v>9</v>
      </c>
      <c r="D25" s="6">
        <v>5230</v>
      </c>
      <c r="E25" s="6">
        <v>4105</v>
      </c>
      <c r="F25" s="6">
        <f>612+3622+3286+10+5</f>
        <v>7535</v>
      </c>
    </row>
    <row r="26" spans="2:6" ht="16.5" thickBot="1">
      <c r="B26" s="91"/>
      <c r="C26" s="5" t="s">
        <v>19</v>
      </c>
      <c r="D26" s="6">
        <v>1380</v>
      </c>
      <c r="E26" s="6">
        <v>1509</v>
      </c>
      <c r="F26" s="6">
        <f>178+989+466+5+9</f>
        <v>1647</v>
      </c>
    </row>
    <row r="27" spans="2:6" ht="16.5" thickBot="1">
      <c r="B27" s="91"/>
      <c r="C27" s="5" t="s">
        <v>27</v>
      </c>
      <c r="D27" s="6">
        <v>1721</v>
      </c>
      <c r="E27" s="6">
        <v>1722</v>
      </c>
      <c r="F27" s="6">
        <f>103+668+305+2+2</f>
        <v>1080</v>
      </c>
    </row>
    <row r="28" spans="2:6" ht="16.5" thickBot="1">
      <c r="B28" s="91"/>
      <c r="C28" s="10" t="s">
        <v>60</v>
      </c>
      <c r="D28" s="11">
        <f>SUM(D25:D27)</f>
        <v>8331</v>
      </c>
      <c r="E28" s="11">
        <f>SUM(E25:E27)</f>
        <v>7336</v>
      </c>
      <c r="F28" s="11">
        <f>SUM(F25:F27)</f>
        <v>10262</v>
      </c>
    </row>
    <row r="29" spans="2:6" ht="16.5" thickBot="1">
      <c r="B29" s="91" t="s">
        <v>61</v>
      </c>
      <c r="C29" s="5" t="s">
        <v>25</v>
      </c>
      <c r="D29" s="6">
        <v>341</v>
      </c>
      <c r="E29" s="6">
        <v>348</v>
      </c>
      <c r="F29" s="6">
        <f>109+601+481+4+5</f>
        <v>1200</v>
      </c>
    </row>
    <row r="30" spans="2:6" ht="16.5" thickBot="1">
      <c r="B30" s="91"/>
      <c r="C30" s="5" t="s">
        <v>22</v>
      </c>
      <c r="D30" s="6">
        <v>882</v>
      </c>
      <c r="E30" s="6">
        <v>836</v>
      </c>
      <c r="F30" s="6">
        <f>147+571+810+3+7+1</f>
        <v>1539</v>
      </c>
    </row>
    <row r="31" spans="2:6" ht="16.5" thickBot="1">
      <c r="B31" s="91"/>
      <c r="C31" s="5" t="s">
        <v>28</v>
      </c>
      <c r="D31" s="6">
        <v>537</v>
      </c>
      <c r="E31" s="6">
        <v>845</v>
      </c>
      <c r="F31" s="6">
        <f>101+828+33+3+7+2</f>
        <v>974</v>
      </c>
    </row>
    <row r="32" spans="2:6" ht="16.5" thickBot="1">
      <c r="B32" s="91"/>
      <c r="C32" s="5" t="s">
        <v>24</v>
      </c>
      <c r="D32" s="6">
        <v>859</v>
      </c>
      <c r="E32" s="6">
        <v>513</v>
      </c>
      <c r="F32" s="6">
        <f>74+950+350+2+6+2</f>
        <v>1384</v>
      </c>
    </row>
    <row r="33" spans="2:6" ht="16.5" thickBot="1">
      <c r="B33" s="91"/>
      <c r="C33" s="5" t="s">
        <v>31</v>
      </c>
      <c r="D33" s="6">
        <v>530</v>
      </c>
      <c r="E33" s="6">
        <v>522</v>
      </c>
      <c r="F33" s="6">
        <f>75+718+120+2+3</f>
        <v>918</v>
      </c>
    </row>
    <row r="34" spans="2:6" ht="16.5" thickBot="1">
      <c r="B34" s="91"/>
      <c r="C34" s="10" t="s">
        <v>60</v>
      </c>
      <c r="D34" s="11">
        <f>SUM(D29:D33)</f>
        <v>3149</v>
      </c>
      <c r="E34" s="11">
        <f>SUM(E29:E33)</f>
        <v>3064</v>
      </c>
      <c r="F34" s="11">
        <f>SUM(F29:F33)</f>
        <v>6015</v>
      </c>
    </row>
    <row r="35" spans="2:6" ht="16.5" thickBot="1">
      <c r="B35" s="91" t="s">
        <v>62</v>
      </c>
      <c r="C35" s="5" t="s">
        <v>41</v>
      </c>
      <c r="D35" s="6">
        <v>619</v>
      </c>
      <c r="E35" s="6">
        <v>577</v>
      </c>
      <c r="F35" s="6">
        <f>102+360+198+2+5+1</f>
        <v>668</v>
      </c>
    </row>
    <row r="36" spans="2:6" ht="16.5" thickBot="1">
      <c r="B36" s="91"/>
      <c r="C36" s="5" t="s">
        <v>43</v>
      </c>
      <c r="D36" s="6">
        <v>391</v>
      </c>
      <c r="E36" s="6">
        <v>371</v>
      </c>
      <c r="F36" s="6">
        <f>129+381+92+2+7+4</f>
        <v>615</v>
      </c>
    </row>
    <row r="37" spans="2:6" ht="16.5" thickBot="1">
      <c r="B37" s="91"/>
      <c r="C37" s="5" t="s">
        <v>37</v>
      </c>
      <c r="D37" s="6">
        <v>678</v>
      </c>
      <c r="E37" s="6">
        <v>685</v>
      </c>
      <c r="F37" s="6">
        <f>104+442+232+7+5+1</f>
        <v>791</v>
      </c>
    </row>
    <row r="38" spans="2:6" ht="16.5" thickBot="1">
      <c r="B38" s="91"/>
      <c r="C38" s="5" t="s">
        <v>40</v>
      </c>
      <c r="D38" s="6">
        <v>617</v>
      </c>
      <c r="E38" s="6">
        <v>619</v>
      </c>
      <c r="F38" s="6">
        <f>70+440+161+2+5</f>
        <v>678</v>
      </c>
    </row>
    <row r="39" spans="2:6" ht="16.5" thickBot="1">
      <c r="B39" s="91"/>
      <c r="C39" s="5" t="s">
        <v>29</v>
      </c>
      <c r="D39" s="6">
        <v>780</v>
      </c>
      <c r="E39" s="6">
        <v>756</v>
      </c>
      <c r="F39" s="6">
        <f>130+507+276+1+12+1</f>
        <v>927</v>
      </c>
    </row>
    <row r="40" spans="2:6" ht="16.5" thickBot="1">
      <c r="B40" s="91"/>
      <c r="C40" s="5" t="s">
        <v>14</v>
      </c>
      <c r="D40" s="6">
        <v>2482</v>
      </c>
      <c r="E40" s="6">
        <v>2104</v>
      </c>
      <c r="F40" s="6">
        <f>176+1266+1209+4+6</f>
        <v>2661</v>
      </c>
    </row>
    <row r="41" spans="2:6" ht="16.5" thickBot="1">
      <c r="B41" s="91"/>
      <c r="C41" s="10" t="s">
        <v>60</v>
      </c>
      <c r="D41" s="11">
        <f>SUM(D35:D40)</f>
        <v>5567</v>
      </c>
      <c r="E41" s="11">
        <f>SUM(E35:E40)</f>
        <v>5112</v>
      </c>
      <c r="F41" s="11">
        <f>SUM(F35:F40)</f>
        <v>6340</v>
      </c>
    </row>
    <row r="42" spans="2:6" ht="16.5" thickBot="1">
      <c r="B42" s="91" t="s">
        <v>10</v>
      </c>
      <c r="C42" s="5" t="s">
        <v>10</v>
      </c>
      <c r="D42" s="6">
        <v>3630</v>
      </c>
      <c r="E42" s="6">
        <v>4991</v>
      </c>
      <c r="F42" s="6">
        <f>195+3654+1794+2+2+1</f>
        <v>5648</v>
      </c>
    </row>
    <row r="43" spans="2:6" ht="16.5" thickBot="1">
      <c r="B43" s="91"/>
      <c r="C43" s="5" t="s">
        <v>26</v>
      </c>
      <c r="D43" s="6">
        <v>1009</v>
      </c>
      <c r="E43" s="6">
        <v>1018</v>
      </c>
      <c r="F43" s="6">
        <f>115+645+306+5+11+6</f>
        <v>1088</v>
      </c>
    </row>
    <row r="44" spans="2:6" ht="16.5" thickBot="1">
      <c r="B44" s="91"/>
      <c r="C44" s="5" t="s">
        <v>35</v>
      </c>
      <c r="D44" s="6">
        <v>682</v>
      </c>
      <c r="E44" s="6">
        <v>600</v>
      </c>
      <c r="F44" s="6">
        <f>153+450+229+3+23</f>
        <v>858</v>
      </c>
    </row>
    <row r="45" spans="2:6" ht="16.5" thickBot="1">
      <c r="B45" s="91"/>
      <c r="C45" s="5" t="s">
        <v>38</v>
      </c>
      <c r="D45" s="6">
        <v>760</v>
      </c>
      <c r="E45" s="6">
        <v>755</v>
      </c>
      <c r="F45" s="6">
        <f>130+466+124+4+3+1</f>
        <v>728</v>
      </c>
    </row>
    <row r="46" spans="2:6" ht="16.5" thickBot="1">
      <c r="B46" s="91"/>
      <c r="C46" s="5" t="s">
        <v>23</v>
      </c>
      <c r="D46" s="6">
        <v>1085</v>
      </c>
      <c r="E46" s="6">
        <v>1230</v>
      </c>
      <c r="F46" s="6">
        <f>137+864+400+3+6+3</f>
        <v>1413</v>
      </c>
    </row>
    <row r="47" spans="2:6" ht="16.5" thickBot="1">
      <c r="B47" s="91"/>
      <c r="C47" s="5" t="s">
        <v>16</v>
      </c>
      <c r="D47" s="6">
        <v>1989</v>
      </c>
      <c r="E47" s="6">
        <v>1934</v>
      </c>
      <c r="F47" s="6">
        <f>183+1665+475+4+5</f>
        <v>2332</v>
      </c>
    </row>
    <row r="48" spans="2:6" ht="16.5" thickBot="1">
      <c r="B48" s="91"/>
      <c r="C48" s="10" t="s">
        <v>60</v>
      </c>
      <c r="D48" s="11">
        <f>SUM(D42:D47)</f>
        <v>9155</v>
      </c>
      <c r="E48" s="11">
        <f>SUM(E42:E47)</f>
        <v>10528</v>
      </c>
      <c r="F48" s="13">
        <f>SUM(F42:F47)</f>
        <v>12067</v>
      </c>
    </row>
    <row r="49" spans="2:6" ht="16.5" thickBot="1">
      <c r="B49" s="91" t="s">
        <v>63</v>
      </c>
      <c r="C49" s="5" t="s">
        <v>50</v>
      </c>
      <c r="D49" s="6">
        <v>279</v>
      </c>
      <c r="E49" s="6">
        <v>386</v>
      </c>
      <c r="F49" s="6">
        <f>55+201+85+1+1+1</f>
        <v>344</v>
      </c>
    </row>
    <row r="50" spans="2:6" ht="16.5" thickBot="1">
      <c r="B50" s="91"/>
      <c r="C50" s="5" t="s">
        <v>51</v>
      </c>
      <c r="D50" s="6">
        <v>530</v>
      </c>
      <c r="E50" s="6">
        <v>400</v>
      </c>
      <c r="F50" s="6">
        <f>56+137+89+3+4</f>
        <v>289</v>
      </c>
    </row>
    <row r="51" spans="2:6" ht="16.5" thickBot="1">
      <c r="B51" s="91"/>
      <c r="C51" s="5" t="s">
        <v>52</v>
      </c>
      <c r="D51" s="6">
        <v>203</v>
      </c>
      <c r="E51" s="6">
        <v>200</v>
      </c>
      <c r="F51" s="6">
        <f>25+185+29+1+6</f>
        <v>246</v>
      </c>
    </row>
    <row r="52" spans="2:6" ht="12.75" customHeight="1" thickBot="1">
      <c r="B52" s="91"/>
      <c r="C52" s="5" t="s">
        <v>39</v>
      </c>
      <c r="D52" s="6">
        <v>298</v>
      </c>
      <c r="E52" s="6">
        <v>523</v>
      </c>
      <c r="F52" s="6">
        <f>48+471+152+3+4</f>
        <v>678</v>
      </c>
    </row>
    <row r="53" spans="2:6" ht="14.25" customHeight="1" thickBot="1">
      <c r="B53" s="91"/>
      <c r="C53" s="5" t="s">
        <v>56</v>
      </c>
      <c r="D53" s="6">
        <v>107</v>
      </c>
      <c r="E53" s="6">
        <v>108</v>
      </c>
      <c r="F53" s="6">
        <f>12+110+7+2</f>
        <v>131</v>
      </c>
    </row>
    <row r="54" spans="2:6" ht="16.5" thickBot="1">
      <c r="B54" s="91"/>
      <c r="C54" s="10" t="s">
        <v>60</v>
      </c>
      <c r="D54" s="11">
        <v>1417</v>
      </c>
      <c r="E54" s="11">
        <f>SUM(E49:E53)</f>
        <v>1617</v>
      </c>
      <c r="F54" s="11">
        <f>SUM(F49:F53)</f>
        <v>1688</v>
      </c>
    </row>
    <row r="55" spans="2:6" ht="16.5" thickBot="1">
      <c r="B55" s="91" t="s">
        <v>20</v>
      </c>
      <c r="C55" s="5" t="s">
        <v>20</v>
      </c>
      <c r="D55" s="6">
        <v>1568</v>
      </c>
      <c r="E55" s="6">
        <v>1570</v>
      </c>
      <c r="F55" s="6">
        <f>190+1007+377+2+7+3</f>
        <v>1586</v>
      </c>
    </row>
    <row r="56" spans="2:6" ht="15" customHeight="1" thickBot="1">
      <c r="B56" s="91"/>
      <c r="C56" s="5" t="s">
        <v>11</v>
      </c>
      <c r="D56" s="6">
        <v>3232</v>
      </c>
      <c r="E56" s="6">
        <v>2961</v>
      </c>
      <c r="F56" s="6">
        <f>192+2500+1600+3+5+2</f>
        <v>4302</v>
      </c>
    </row>
    <row r="57" spans="2:6" ht="13.5" customHeight="1" thickBot="1">
      <c r="B57" s="91"/>
      <c r="C57" s="5" t="s">
        <v>21</v>
      </c>
      <c r="D57" s="6">
        <v>1737</v>
      </c>
      <c r="E57" s="6">
        <v>1433</v>
      </c>
      <c r="F57" s="6">
        <f>116+1378+42+2+9+3</f>
        <v>1550</v>
      </c>
    </row>
    <row r="58" spans="2:6" ht="16.5" thickBot="1">
      <c r="B58" s="91"/>
      <c r="C58" s="5" t="s">
        <v>32</v>
      </c>
      <c r="D58" s="6">
        <v>1011</v>
      </c>
      <c r="E58" s="6">
        <v>853</v>
      </c>
      <c r="F58" s="6">
        <f>177+428+274+2+3</f>
        <v>884</v>
      </c>
    </row>
    <row r="59" spans="2:6" ht="16.5" thickBot="1">
      <c r="B59" s="91"/>
      <c r="C59" s="5" t="s">
        <v>18</v>
      </c>
      <c r="D59" s="6">
        <v>1801</v>
      </c>
      <c r="E59" s="6">
        <v>1786</v>
      </c>
      <c r="F59" s="6">
        <f>140+1136+381+2+1</f>
        <v>1660</v>
      </c>
    </row>
    <row r="60" spans="2:6" ht="16.5" thickBot="1">
      <c r="B60" s="91"/>
      <c r="C60" s="5" t="s">
        <v>48</v>
      </c>
      <c r="D60" s="6">
        <v>509</v>
      </c>
      <c r="E60" s="6">
        <v>500</v>
      </c>
      <c r="F60" s="6">
        <f>69+340+108+1+8</f>
        <v>526</v>
      </c>
    </row>
    <row r="61" spans="2:6" ht="16.5" thickBot="1">
      <c r="B61" s="91"/>
      <c r="C61" s="10" t="s">
        <v>60</v>
      </c>
      <c r="D61" s="11">
        <f>SUM(D55:D60)</f>
        <v>9858</v>
      </c>
      <c r="E61" s="11">
        <f>SUM(E55:E60)</f>
        <v>9103</v>
      </c>
      <c r="F61" s="11">
        <f>SUM(F55:F60)</f>
        <v>10508</v>
      </c>
    </row>
    <row r="62" spans="2:6" ht="14.25" customHeight="1" thickBot="1">
      <c r="B62" s="92" t="s">
        <v>12</v>
      </c>
      <c r="C62" s="8" t="s">
        <v>12</v>
      </c>
      <c r="D62" s="6">
        <v>608</v>
      </c>
      <c r="E62" s="6">
        <v>1924</v>
      </c>
      <c r="F62" s="6">
        <f>176+2255+406+2+22+1</f>
        <v>2862</v>
      </c>
    </row>
    <row r="63" spans="2:6" ht="12" customHeight="1" thickBot="1">
      <c r="B63" s="92"/>
      <c r="C63" s="8" t="s">
        <v>15</v>
      </c>
      <c r="D63" s="6">
        <v>3202</v>
      </c>
      <c r="E63" s="6">
        <v>2429</v>
      </c>
      <c r="F63" s="6">
        <f>165+1714+550+14+7+1</f>
        <v>2451</v>
      </c>
    </row>
    <row r="64" spans="2:6" ht="16.5" thickBot="1">
      <c r="B64" s="92"/>
      <c r="C64" s="8" t="s">
        <v>13</v>
      </c>
      <c r="D64" s="6">
        <v>2154</v>
      </c>
      <c r="E64" s="6">
        <v>2607</v>
      </c>
      <c r="F64" s="6">
        <f>127+2466+83+8+10+1</f>
        <v>2695</v>
      </c>
    </row>
    <row r="65" spans="2:6" ht="16.5" thickBot="1">
      <c r="B65" s="92"/>
      <c r="C65" s="8" t="s">
        <v>33</v>
      </c>
      <c r="D65" s="6">
        <v>734</v>
      </c>
      <c r="E65" s="6">
        <v>499</v>
      </c>
      <c r="F65" s="6">
        <f>114+540+220+3+6</f>
        <v>883</v>
      </c>
    </row>
    <row r="66" spans="2:6" ht="16.5" thickBot="1">
      <c r="B66" s="92"/>
      <c r="C66" s="8" t="s">
        <v>17</v>
      </c>
      <c r="D66" s="6">
        <v>747</v>
      </c>
      <c r="E66" s="6">
        <v>743</v>
      </c>
      <c r="F66" s="6">
        <f>53+1400+236+4+8</f>
        <v>1701</v>
      </c>
    </row>
    <row r="67" spans="2:6" ht="16.5" thickBot="1">
      <c r="B67" s="92"/>
      <c r="C67" s="10" t="s">
        <v>60</v>
      </c>
      <c r="D67" s="11">
        <f>SUM(D62:D66)</f>
        <v>7445</v>
      </c>
      <c r="E67" s="11">
        <f>SUM(E62:E66)</f>
        <v>8202</v>
      </c>
      <c r="F67" s="11">
        <f>SUM(F62:F66)</f>
        <v>10592</v>
      </c>
    </row>
    <row r="68" spans="2:6" ht="16.5" thickBot="1">
      <c r="B68" s="93" t="s">
        <v>64</v>
      </c>
      <c r="C68" s="93"/>
      <c r="D68" s="6">
        <v>50806</v>
      </c>
      <c r="E68" s="6">
        <f>E67+E61+E54+E48+E41+E34+E28+E24+E17</f>
        <v>50979</v>
      </c>
      <c r="F68" s="6">
        <v>63990</v>
      </c>
    </row>
  </sheetData>
  <mergeCells count="16">
    <mergeCell ref="B1:F1"/>
    <mergeCell ref="C2:F2"/>
    <mergeCell ref="B3:F3"/>
    <mergeCell ref="B4:F4"/>
    <mergeCell ref="A6:F7"/>
    <mergeCell ref="B55:B61"/>
    <mergeCell ref="B62:B67"/>
    <mergeCell ref="B68:C68"/>
    <mergeCell ref="D9:F9"/>
    <mergeCell ref="B35:B41"/>
    <mergeCell ref="B42:B48"/>
    <mergeCell ref="B11:B17"/>
    <mergeCell ref="B18:B24"/>
    <mergeCell ref="B25:B28"/>
    <mergeCell ref="B29:B34"/>
    <mergeCell ref="B49:B54"/>
  </mergeCells>
  <pageMargins left="0.70866141732283472" right="0.70866141732283472" top="0.55118110236220474" bottom="0" header="0.11811023622047245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G23" sqref="G23"/>
    </sheetView>
  </sheetViews>
  <sheetFormatPr baseColWidth="10" defaultRowHeight="15"/>
  <cols>
    <col min="2" max="2" width="20.28515625" bestFit="1" customWidth="1"/>
    <col min="3" max="3" width="15.28515625" customWidth="1"/>
    <col min="4" max="4" width="15.85546875" customWidth="1"/>
    <col min="5" max="5" width="15.85546875" bestFit="1" customWidth="1"/>
  </cols>
  <sheetData>
    <row r="1" spans="1:5" ht="20.25">
      <c r="A1" s="86" t="s">
        <v>0</v>
      </c>
      <c r="B1" s="86"/>
      <c r="C1" s="86"/>
      <c r="D1" s="86"/>
      <c r="E1" s="86"/>
    </row>
    <row r="2" spans="1:5" ht="20.25">
      <c r="A2" s="1"/>
      <c r="B2" s="86" t="s">
        <v>1</v>
      </c>
      <c r="C2" s="86"/>
      <c r="D2" s="86"/>
      <c r="E2" s="86"/>
    </row>
    <row r="3" spans="1:5" ht="20.25">
      <c r="A3" s="84" t="s">
        <v>2</v>
      </c>
      <c r="B3" s="84"/>
      <c r="C3" s="84"/>
      <c r="D3" s="84"/>
      <c r="E3" s="84"/>
    </row>
    <row r="4" spans="1:5" ht="20.25">
      <c r="A4" s="84" t="s">
        <v>3</v>
      </c>
      <c r="B4" s="84"/>
      <c r="C4" s="84"/>
      <c r="D4" s="84"/>
      <c r="E4" s="84"/>
    </row>
    <row r="5" spans="1:5" ht="17.25" customHeight="1">
      <c r="B5" s="35"/>
      <c r="C5" s="35"/>
      <c r="D5" s="35"/>
      <c r="E5" s="35"/>
    </row>
    <row r="6" spans="1:5" ht="14.25" customHeight="1">
      <c r="A6" s="85" t="s">
        <v>88</v>
      </c>
      <c r="B6" s="85"/>
      <c r="C6" s="85"/>
      <c r="D6" s="85"/>
      <c r="E6" s="85"/>
    </row>
    <row r="7" spans="1:5">
      <c r="A7" s="85"/>
      <c r="B7" s="85"/>
      <c r="C7" s="85"/>
      <c r="D7" s="85"/>
      <c r="E7" s="85"/>
    </row>
    <row r="8" spans="1:5" ht="15.75" thickBot="1"/>
    <row r="9" spans="1:5" ht="15.75" thickBot="1">
      <c r="C9" s="87" t="s">
        <v>7</v>
      </c>
      <c r="D9" s="88"/>
      <c r="E9" s="89"/>
    </row>
    <row r="10" spans="1:5" ht="29.25" thickBot="1">
      <c r="B10" s="3" t="s">
        <v>5</v>
      </c>
      <c r="C10" s="4" t="s">
        <v>86</v>
      </c>
      <c r="D10" s="4" t="s">
        <v>58</v>
      </c>
      <c r="E10" s="4" t="s">
        <v>4</v>
      </c>
    </row>
    <row r="11" spans="1:5" ht="16.5" thickBot="1">
      <c r="B11" s="5" t="s">
        <v>9</v>
      </c>
      <c r="C11" s="6">
        <v>5230</v>
      </c>
      <c r="D11" s="6">
        <v>4105</v>
      </c>
      <c r="E11" s="6">
        <f>612+3622+3286+10+5</f>
        <v>7535</v>
      </c>
    </row>
    <row r="12" spans="1:5" ht="16.5" thickBot="1">
      <c r="B12" s="5" t="s">
        <v>10</v>
      </c>
      <c r="C12" s="6">
        <v>3630</v>
      </c>
      <c r="D12" s="6">
        <v>4991</v>
      </c>
      <c r="E12" s="6">
        <f>195+3654+1794+2+2+1</f>
        <v>5648</v>
      </c>
    </row>
    <row r="13" spans="1:5" ht="16.5" thickBot="1">
      <c r="B13" s="5" t="s">
        <v>11</v>
      </c>
      <c r="C13" s="6">
        <v>3232</v>
      </c>
      <c r="D13" s="6">
        <v>2961</v>
      </c>
      <c r="E13" s="6">
        <f>192+2500+1600+3+5+2</f>
        <v>4302</v>
      </c>
    </row>
    <row r="14" spans="1:5" ht="16.5" thickBot="1">
      <c r="B14" s="8" t="s">
        <v>12</v>
      </c>
      <c r="C14" s="6">
        <v>608</v>
      </c>
      <c r="D14" s="6">
        <v>1924</v>
      </c>
      <c r="E14" s="6">
        <f>176+2255+406+2+22+1</f>
        <v>2862</v>
      </c>
    </row>
    <row r="15" spans="1:5" ht="16.5" thickBot="1">
      <c r="B15" s="8" t="s">
        <v>13</v>
      </c>
      <c r="C15" s="6">
        <v>2154</v>
      </c>
      <c r="D15" s="6">
        <v>2607</v>
      </c>
      <c r="E15" s="6">
        <f>127+2466+83+8+10+1</f>
        <v>2695</v>
      </c>
    </row>
    <row r="16" spans="1:5" ht="16.5" customHeight="1" thickBot="1">
      <c r="B16" s="5" t="s">
        <v>14</v>
      </c>
      <c r="C16" s="6">
        <v>2482</v>
      </c>
      <c r="D16" s="6">
        <v>2104</v>
      </c>
      <c r="E16" s="6">
        <f>176+1266+1209+4+6</f>
        <v>2661</v>
      </c>
    </row>
    <row r="17" spans="2:5" ht="16.5" customHeight="1" thickBot="1">
      <c r="B17" s="8" t="s">
        <v>15</v>
      </c>
      <c r="C17" s="6">
        <v>3202</v>
      </c>
      <c r="D17" s="6">
        <v>2429</v>
      </c>
      <c r="E17" s="6">
        <f>165+1714+550+14+7+1</f>
        <v>2451</v>
      </c>
    </row>
    <row r="18" spans="2:5" ht="16.5" customHeight="1" thickBot="1">
      <c r="B18" s="5" t="s">
        <v>16</v>
      </c>
      <c r="C18" s="6">
        <v>1989</v>
      </c>
      <c r="D18" s="6">
        <v>1934</v>
      </c>
      <c r="E18" s="6">
        <f>183+1665+475+4+5</f>
        <v>2332</v>
      </c>
    </row>
    <row r="19" spans="2:5" ht="16.5" customHeight="1" thickBot="1">
      <c r="B19" s="8" t="s">
        <v>17</v>
      </c>
      <c r="C19" s="6">
        <v>747</v>
      </c>
      <c r="D19" s="6">
        <v>743</v>
      </c>
      <c r="E19" s="6">
        <f>53+1400+236+4+8</f>
        <v>1701</v>
      </c>
    </row>
    <row r="20" spans="2:5" ht="16.5" customHeight="1" thickBot="1">
      <c r="B20" s="5" t="s">
        <v>18</v>
      </c>
      <c r="C20" s="6">
        <v>1801</v>
      </c>
      <c r="D20" s="6">
        <v>1786</v>
      </c>
      <c r="E20" s="6">
        <f>140+1136+381+2+1</f>
        <v>1660</v>
      </c>
    </row>
    <row r="21" spans="2:5" ht="16.5" customHeight="1" thickBot="1">
      <c r="B21" s="5" t="s">
        <v>19</v>
      </c>
      <c r="C21" s="6">
        <v>1380</v>
      </c>
      <c r="D21" s="6">
        <v>1509</v>
      </c>
      <c r="E21" s="6">
        <f>178+989+466+5+9</f>
        <v>1647</v>
      </c>
    </row>
    <row r="22" spans="2:5" ht="16.5" thickBot="1">
      <c r="B22" s="5" t="s">
        <v>20</v>
      </c>
      <c r="C22" s="6">
        <v>1568</v>
      </c>
      <c r="D22" s="6">
        <v>1570</v>
      </c>
      <c r="E22" s="6">
        <f>190+1007+377+2+7+3</f>
        <v>1586</v>
      </c>
    </row>
    <row r="23" spans="2:5" ht="16.5" thickBot="1">
      <c r="B23" s="5" t="s">
        <v>21</v>
      </c>
      <c r="C23" s="6">
        <v>1737</v>
      </c>
      <c r="D23" s="6">
        <v>1433</v>
      </c>
      <c r="E23" s="6">
        <f>116+1378+42+2+9+3</f>
        <v>1550</v>
      </c>
    </row>
    <row r="24" spans="2:5" ht="16.5" thickBot="1">
      <c r="B24" s="5" t="s">
        <v>22</v>
      </c>
      <c r="C24" s="6">
        <v>882</v>
      </c>
      <c r="D24" s="6">
        <v>836</v>
      </c>
      <c r="E24" s="6">
        <f>147+571+810+3+7+1</f>
        <v>1539</v>
      </c>
    </row>
    <row r="25" spans="2:5" ht="16.5" thickBot="1">
      <c r="B25" s="5" t="s">
        <v>23</v>
      </c>
      <c r="C25" s="6">
        <v>1085</v>
      </c>
      <c r="D25" s="6">
        <v>1230</v>
      </c>
      <c r="E25" s="6">
        <f>137+864+400+3+6+3</f>
        <v>1413</v>
      </c>
    </row>
    <row r="26" spans="2:5" ht="16.5" thickBot="1">
      <c r="B26" s="5" t="s">
        <v>24</v>
      </c>
      <c r="C26" s="6">
        <v>859</v>
      </c>
      <c r="D26" s="6">
        <v>513</v>
      </c>
      <c r="E26" s="6">
        <f>74+950+350+2+6+2</f>
        <v>1384</v>
      </c>
    </row>
    <row r="27" spans="2:5" ht="16.5" thickBot="1">
      <c r="B27" s="5" t="s">
        <v>25</v>
      </c>
      <c r="C27" s="6">
        <v>341</v>
      </c>
      <c r="D27" s="6">
        <v>348</v>
      </c>
      <c r="E27" s="6">
        <f>109+601+481+4+5</f>
        <v>1200</v>
      </c>
    </row>
    <row r="28" spans="2:5" ht="16.5" thickBot="1">
      <c r="B28" s="5" t="s">
        <v>26</v>
      </c>
      <c r="C28" s="6">
        <v>1009</v>
      </c>
      <c r="D28" s="6">
        <v>1018</v>
      </c>
      <c r="E28" s="6">
        <f>115+645+306+5+11+6</f>
        <v>1088</v>
      </c>
    </row>
    <row r="29" spans="2:5" ht="16.5" thickBot="1">
      <c r="B29" s="5" t="s">
        <v>27</v>
      </c>
      <c r="C29" s="6">
        <v>1721</v>
      </c>
      <c r="D29" s="6">
        <v>1722</v>
      </c>
      <c r="E29" s="6">
        <f>103+668+305+2+2</f>
        <v>1080</v>
      </c>
    </row>
    <row r="30" spans="2:5" ht="16.5" thickBot="1">
      <c r="B30" s="5" t="s">
        <v>28</v>
      </c>
      <c r="C30" s="6">
        <v>537</v>
      </c>
      <c r="D30" s="6">
        <v>845</v>
      </c>
      <c r="E30" s="6">
        <f>101+828+33+3+7+2</f>
        <v>974</v>
      </c>
    </row>
    <row r="31" spans="2:5" ht="16.5" thickBot="1">
      <c r="B31" s="5" t="s">
        <v>29</v>
      </c>
      <c r="C31" s="6">
        <v>780</v>
      </c>
      <c r="D31" s="6">
        <v>756</v>
      </c>
      <c r="E31" s="6">
        <f>130+507+276+1+12+1</f>
        <v>927</v>
      </c>
    </row>
    <row r="32" spans="2:5" ht="16.5" thickBot="1">
      <c r="B32" s="9" t="s">
        <v>30</v>
      </c>
      <c r="C32" s="6">
        <v>1256</v>
      </c>
      <c r="D32" s="6">
        <v>1551</v>
      </c>
      <c r="E32" s="6">
        <f>216+505+197+4+3</f>
        <v>925</v>
      </c>
    </row>
    <row r="33" spans="2:5" ht="16.5" thickBot="1">
      <c r="B33" s="5" t="s">
        <v>31</v>
      </c>
      <c r="C33" s="6">
        <v>530</v>
      </c>
      <c r="D33" s="6">
        <v>522</v>
      </c>
      <c r="E33" s="6">
        <f>75+718+120+2+3</f>
        <v>918</v>
      </c>
    </row>
    <row r="34" spans="2:5" ht="16.5" thickBot="1">
      <c r="B34" s="5" t="s">
        <v>32</v>
      </c>
      <c r="C34" s="6">
        <v>1011</v>
      </c>
      <c r="D34" s="6">
        <v>853</v>
      </c>
      <c r="E34" s="6">
        <f>177+428+274+2+3</f>
        <v>884</v>
      </c>
    </row>
    <row r="35" spans="2:5" ht="16.5" thickBot="1">
      <c r="B35" s="8" t="s">
        <v>33</v>
      </c>
      <c r="C35" s="6">
        <v>734</v>
      </c>
      <c r="D35" s="6">
        <v>499</v>
      </c>
      <c r="E35" s="6">
        <f>114+540+220+3+6</f>
        <v>883</v>
      </c>
    </row>
    <row r="36" spans="2:5" ht="16.5" thickBot="1">
      <c r="B36" s="9" t="s">
        <v>34</v>
      </c>
      <c r="C36" s="6">
        <v>883</v>
      </c>
      <c r="D36" s="6">
        <v>822</v>
      </c>
      <c r="E36" s="6">
        <f>129+479+260+2+3+1</f>
        <v>874</v>
      </c>
    </row>
    <row r="37" spans="2:5" ht="16.5" thickBot="1">
      <c r="B37" s="5" t="s">
        <v>35</v>
      </c>
      <c r="C37" s="6">
        <v>682</v>
      </c>
      <c r="D37" s="6">
        <v>600</v>
      </c>
      <c r="E37" s="6">
        <f>153+450+229+3+23</f>
        <v>858</v>
      </c>
    </row>
    <row r="38" spans="2:5" ht="16.5" thickBot="1">
      <c r="B38" s="9" t="s">
        <v>36</v>
      </c>
      <c r="C38" s="6">
        <v>634</v>
      </c>
      <c r="D38" s="6">
        <v>685</v>
      </c>
      <c r="E38" s="6">
        <f>102+463+215+6+10</f>
        <v>796</v>
      </c>
    </row>
    <row r="39" spans="2:5" ht="16.5" thickBot="1">
      <c r="B39" s="5" t="s">
        <v>37</v>
      </c>
      <c r="C39" s="6">
        <v>678</v>
      </c>
      <c r="D39" s="6">
        <v>685</v>
      </c>
      <c r="E39" s="6">
        <f>104+442+232+7+5+1</f>
        <v>791</v>
      </c>
    </row>
    <row r="40" spans="2:5" ht="16.5" thickBot="1">
      <c r="B40" s="5" t="s">
        <v>38</v>
      </c>
      <c r="C40" s="6">
        <v>760</v>
      </c>
      <c r="D40" s="6">
        <v>755</v>
      </c>
      <c r="E40" s="6">
        <f>130+466+124+4+3+1</f>
        <v>728</v>
      </c>
    </row>
    <row r="41" spans="2:5" ht="16.5" thickBot="1">
      <c r="B41" s="5" t="s">
        <v>40</v>
      </c>
      <c r="C41" s="6">
        <v>617</v>
      </c>
      <c r="D41" s="6">
        <v>619</v>
      </c>
      <c r="E41" s="6">
        <f>70+440+161+2+5</f>
        <v>678</v>
      </c>
    </row>
    <row r="42" spans="2:5" ht="16.5" thickBot="1">
      <c r="B42" s="5" t="s">
        <v>39</v>
      </c>
      <c r="C42" s="6">
        <v>298</v>
      </c>
      <c r="D42" s="6">
        <v>523</v>
      </c>
      <c r="E42" s="6">
        <f>48+471+152+3+4</f>
        <v>678</v>
      </c>
    </row>
    <row r="43" spans="2:5" ht="16.5" thickBot="1">
      <c r="B43" s="5" t="s">
        <v>41</v>
      </c>
      <c r="C43" s="6">
        <v>619</v>
      </c>
      <c r="D43" s="6">
        <v>577</v>
      </c>
      <c r="E43" s="6">
        <f>102+360+198+2+5+1</f>
        <v>668</v>
      </c>
    </row>
    <row r="44" spans="2:5" ht="16.5" thickBot="1">
      <c r="B44" s="5" t="s">
        <v>42</v>
      </c>
      <c r="C44" s="6">
        <v>518</v>
      </c>
      <c r="D44" s="6">
        <v>280</v>
      </c>
      <c r="E44" s="6">
        <f>78+314+212+2+9</f>
        <v>615</v>
      </c>
    </row>
    <row r="45" spans="2:5" ht="16.5" thickBot="1">
      <c r="B45" s="5" t="s">
        <v>43</v>
      </c>
      <c r="C45" s="6">
        <v>391</v>
      </c>
      <c r="D45" s="6">
        <v>371</v>
      </c>
      <c r="E45" s="6">
        <f>129+381+92+2+7+4</f>
        <v>615</v>
      </c>
    </row>
    <row r="46" spans="2:5" ht="16.5" thickBot="1">
      <c r="B46" s="9" t="s">
        <v>44</v>
      </c>
      <c r="C46" s="6">
        <v>530</v>
      </c>
      <c r="D46" s="6">
        <v>456</v>
      </c>
      <c r="E46" s="6">
        <f>107+382+103+4+7</f>
        <v>603</v>
      </c>
    </row>
    <row r="47" spans="2:5" ht="16.5" thickBot="1">
      <c r="B47" s="5" t="s">
        <v>45</v>
      </c>
      <c r="C47" s="6">
        <v>1145</v>
      </c>
      <c r="D47" s="6">
        <v>456</v>
      </c>
      <c r="E47" s="6">
        <f>50+475+74+1</f>
        <v>600</v>
      </c>
    </row>
    <row r="48" spans="2:5" ht="16.5" thickBot="1">
      <c r="B48" s="5" t="s">
        <v>46</v>
      </c>
      <c r="C48" s="6">
        <v>510</v>
      </c>
      <c r="D48" s="6">
        <v>529</v>
      </c>
      <c r="E48" s="6">
        <f>101+262+214+2+5</f>
        <v>584</v>
      </c>
    </row>
    <row r="49" spans="2:5" ht="16.5" thickBot="1">
      <c r="B49" s="5" t="s">
        <v>47</v>
      </c>
      <c r="C49" s="6">
        <v>350</v>
      </c>
      <c r="D49" s="6">
        <v>533</v>
      </c>
      <c r="E49" s="6">
        <f>56+413+62+3+1+1</f>
        <v>536</v>
      </c>
    </row>
    <row r="50" spans="2:5" ht="16.5" thickBot="1">
      <c r="B50" s="5" t="s">
        <v>48</v>
      </c>
      <c r="C50" s="6">
        <v>509</v>
      </c>
      <c r="D50" s="6">
        <v>500</v>
      </c>
      <c r="E50" s="6">
        <f>69+340+108+1+8</f>
        <v>526</v>
      </c>
    </row>
    <row r="51" spans="2:5" ht="16.5" thickBot="1">
      <c r="B51" s="9" t="s">
        <v>49</v>
      </c>
      <c r="C51" s="6">
        <v>308</v>
      </c>
      <c r="D51" s="6">
        <v>298</v>
      </c>
      <c r="E51" s="6">
        <f>46+387+41+1+3+2</f>
        <v>480</v>
      </c>
    </row>
    <row r="52" spans="2:5" ht="16.5" thickBot="1">
      <c r="B52" s="5" t="s">
        <v>50</v>
      </c>
      <c r="C52" s="6">
        <v>279</v>
      </c>
      <c r="D52" s="6">
        <v>386</v>
      </c>
      <c r="E52" s="6">
        <f>55+201+85+1+1+1</f>
        <v>344</v>
      </c>
    </row>
    <row r="53" spans="2:5" ht="14.25" customHeight="1" thickBot="1">
      <c r="B53" s="5" t="s">
        <v>51</v>
      </c>
      <c r="C53" s="6">
        <v>530</v>
      </c>
      <c r="D53" s="6">
        <v>400</v>
      </c>
      <c r="E53" s="6">
        <f>56+137+89+3+4</f>
        <v>289</v>
      </c>
    </row>
    <row r="54" spans="2:5" ht="16.5" thickBot="1">
      <c r="B54" s="5" t="s">
        <v>52</v>
      </c>
      <c r="C54" s="6">
        <v>203</v>
      </c>
      <c r="D54" s="6">
        <v>200</v>
      </c>
      <c r="E54" s="6">
        <f>25+185+29+1+6</f>
        <v>246</v>
      </c>
    </row>
    <row r="55" spans="2:5" ht="16.5" thickBot="1">
      <c r="B55" s="5" t="s">
        <v>53</v>
      </c>
      <c r="C55" s="6">
        <v>187</v>
      </c>
      <c r="D55" s="6">
        <v>175</v>
      </c>
      <c r="E55" s="6">
        <f>22+143+66+2+1</f>
        <v>234</v>
      </c>
    </row>
    <row r="56" spans="2:5" ht="16.5" thickBot="1">
      <c r="B56" s="9" t="s">
        <v>54</v>
      </c>
      <c r="C56" s="6">
        <v>161</v>
      </c>
      <c r="D56" s="6">
        <v>152</v>
      </c>
      <c r="E56" s="6">
        <f>34+98+47+1+1</f>
        <v>181</v>
      </c>
    </row>
    <row r="57" spans="2:5" ht="16.5" thickBot="1">
      <c r="B57" s="5" t="s">
        <v>55</v>
      </c>
      <c r="C57" s="6">
        <v>111</v>
      </c>
      <c r="D57" s="6">
        <v>80</v>
      </c>
      <c r="E57" s="6">
        <f>16+83+37</f>
        <v>136</v>
      </c>
    </row>
    <row r="58" spans="2:5" ht="16.5" thickBot="1">
      <c r="B58" s="5" t="s">
        <v>56</v>
      </c>
      <c r="C58" s="6">
        <v>107</v>
      </c>
      <c r="D58" s="6">
        <v>108</v>
      </c>
      <c r="E58" s="6">
        <f>12+110+7+2</f>
        <v>131</v>
      </c>
    </row>
    <row r="59" spans="2:5" ht="16.5" thickBot="1">
      <c r="B59" s="5" t="s">
        <v>57</v>
      </c>
      <c r="C59" s="6">
        <v>50806</v>
      </c>
      <c r="D59" s="6">
        <f t="shared" ref="D59" si="0">SUM(D11:D58)</f>
        <v>50979</v>
      </c>
      <c r="E59" s="6">
        <v>63990</v>
      </c>
    </row>
  </sheetData>
  <autoFilter ref="B10:E58">
    <sortState ref="B11:E59">
      <sortCondition descending="1" ref="E10:E59"/>
    </sortState>
  </autoFilter>
  <mergeCells count="6">
    <mergeCell ref="C9:E9"/>
    <mergeCell ref="A1:E1"/>
    <mergeCell ref="A3:E3"/>
    <mergeCell ref="A4:E4"/>
    <mergeCell ref="B2:E2"/>
    <mergeCell ref="A6:E7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16"/>
  <sheetViews>
    <sheetView workbookViewId="0">
      <selection activeCell="F19" sqref="F19"/>
    </sheetView>
  </sheetViews>
  <sheetFormatPr baseColWidth="10" defaultRowHeight="15"/>
  <cols>
    <col min="1" max="1" width="23.140625" customWidth="1"/>
    <col min="2" max="2" width="14.85546875" customWidth="1"/>
    <col min="3" max="3" width="14.5703125" customWidth="1"/>
    <col min="4" max="4" width="17.28515625" customWidth="1"/>
    <col min="5" max="5" width="19.5703125" customWidth="1"/>
    <col min="6" max="6" width="18.5703125" customWidth="1"/>
    <col min="7" max="7" width="22.7109375" customWidth="1"/>
  </cols>
  <sheetData>
    <row r="2" spans="1:9" ht="36.75" customHeight="1"/>
    <row r="3" spans="1:9" hidden="1"/>
    <row r="4" spans="1:9" ht="61.5" customHeight="1">
      <c r="A4" s="116" t="s">
        <v>89</v>
      </c>
      <c r="B4" s="116"/>
      <c r="C4" s="116"/>
      <c r="D4" s="116"/>
      <c r="E4" s="116"/>
      <c r="F4" s="116"/>
      <c r="G4" s="116"/>
    </row>
    <row r="5" spans="1:9" ht="15" customHeight="1">
      <c r="A5" s="36"/>
      <c r="B5" s="36"/>
      <c r="C5" s="36"/>
      <c r="D5" s="36"/>
      <c r="E5" s="36"/>
      <c r="F5" s="36"/>
      <c r="G5" s="36"/>
    </row>
    <row r="7" spans="1:9">
      <c r="A7" s="117" t="s">
        <v>67</v>
      </c>
      <c r="B7" s="118" t="s">
        <v>90</v>
      </c>
      <c r="C7" s="118" t="s">
        <v>91</v>
      </c>
      <c r="D7" s="118" t="s">
        <v>70</v>
      </c>
      <c r="E7" s="118" t="s">
        <v>71</v>
      </c>
      <c r="F7" s="118" t="s">
        <v>85</v>
      </c>
      <c r="G7" s="118" t="s">
        <v>92</v>
      </c>
    </row>
    <row r="8" spans="1:9" ht="98.45" customHeight="1">
      <c r="A8" s="117"/>
      <c r="B8" s="118"/>
      <c r="C8" s="118"/>
      <c r="D8" s="118"/>
      <c r="E8" s="118"/>
      <c r="F8" s="118"/>
      <c r="G8" s="118"/>
    </row>
    <row r="9" spans="1:9" ht="29.45" customHeight="1">
      <c r="A9" s="37" t="s">
        <v>93</v>
      </c>
      <c r="B9" s="38">
        <v>34576</v>
      </c>
      <c r="C9" s="38">
        <v>4985</v>
      </c>
      <c r="D9" s="38">
        <v>20763</v>
      </c>
      <c r="E9" s="38">
        <v>8436</v>
      </c>
      <c r="F9" s="38">
        <v>392</v>
      </c>
      <c r="G9" s="38">
        <v>2093</v>
      </c>
      <c r="I9" s="39">
        <f>SUM(C9:F9)</f>
        <v>34576</v>
      </c>
    </row>
    <row r="10" spans="1:9" ht="26.45" customHeight="1">
      <c r="A10" s="37" t="s">
        <v>94</v>
      </c>
      <c r="B10" s="38">
        <v>50806</v>
      </c>
      <c r="C10" s="38">
        <v>5506</v>
      </c>
      <c r="D10" s="38">
        <v>33013</v>
      </c>
      <c r="E10" s="38">
        <v>11949</v>
      </c>
      <c r="F10" s="38">
        <v>462</v>
      </c>
      <c r="G10" s="38">
        <v>2219</v>
      </c>
      <c r="I10" s="39">
        <f t="shared" ref="I10:I13" si="0">SUM(C10:F10)</f>
        <v>50930</v>
      </c>
    </row>
    <row r="11" spans="1:9" ht="20.45" hidden="1" customHeight="1">
      <c r="A11" s="37" t="s">
        <v>95</v>
      </c>
      <c r="B11" s="38">
        <f t="shared" ref="B11:G11" si="1">((B10-B9)/B9)*100</f>
        <v>46.940074039796393</v>
      </c>
      <c r="C11" s="38">
        <f t="shared" si="1"/>
        <v>10.45135406218656</v>
      </c>
      <c r="D11" s="38">
        <f t="shared" si="1"/>
        <v>58.999181235852241</v>
      </c>
      <c r="E11" s="38">
        <f t="shared" si="1"/>
        <v>41.642958748221908</v>
      </c>
      <c r="F11" s="38">
        <f t="shared" si="1"/>
        <v>17.857142857142858</v>
      </c>
      <c r="G11" s="38">
        <f t="shared" si="1"/>
        <v>6.0200668896321075</v>
      </c>
      <c r="I11" s="39"/>
    </row>
    <row r="12" spans="1:9" ht="20.45" customHeight="1">
      <c r="A12" s="37" t="s">
        <v>96</v>
      </c>
      <c r="B12" s="38">
        <v>50979</v>
      </c>
      <c r="C12" s="38">
        <v>4992</v>
      </c>
      <c r="D12" s="38">
        <v>33475</v>
      </c>
      <c r="E12" s="38">
        <v>11526</v>
      </c>
      <c r="F12" s="38">
        <v>445</v>
      </c>
      <c r="G12" s="38">
        <v>2233</v>
      </c>
      <c r="I12" s="39">
        <f t="shared" si="0"/>
        <v>50438</v>
      </c>
    </row>
    <row r="13" spans="1:9" ht="18.75">
      <c r="A13" s="37" t="s">
        <v>97</v>
      </c>
      <c r="B13" s="38">
        <v>63990</v>
      </c>
      <c r="C13" s="38">
        <v>5695</v>
      </c>
      <c r="D13" s="38">
        <v>40491</v>
      </c>
      <c r="E13" s="38">
        <v>20059</v>
      </c>
      <c r="F13" s="38">
        <v>474</v>
      </c>
      <c r="G13" s="38">
        <v>2222</v>
      </c>
      <c r="I13" s="39">
        <f t="shared" si="0"/>
        <v>66719</v>
      </c>
    </row>
    <row r="14" spans="1:9" ht="18.75">
      <c r="A14" s="37" t="s">
        <v>98</v>
      </c>
      <c r="B14" s="38">
        <f>((B13-B9)/B9)*100</f>
        <v>85.070569180934754</v>
      </c>
      <c r="C14" s="38">
        <f t="shared" ref="C14:G14" si="2">((C13-C9)/C9)*100</f>
        <v>14.242728184553661</v>
      </c>
      <c r="D14" s="38">
        <f t="shared" si="2"/>
        <v>95.01517121803208</v>
      </c>
      <c r="E14" s="38">
        <f t="shared" si="2"/>
        <v>137.77856804172595</v>
      </c>
      <c r="F14" s="38">
        <f t="shared" si="2"/>
        <v>20.918367346938776</v>
      </c>
      <c r="G14" s="38">
        <f t="shared" si="2"/>
        <v>6.1634018155757291</v>
      </c>
      <c r="I14" s="39"/>
    </row>
    <row r="15" spans="1:9" ht="18.75">
      <c r="A15" s="37" t="s">
        <v>99</v>
      </c>
      <c r="B15" s="38">
        <f>((B13-B10)/B10)*100</f>
        <v>25.949690981380151</v>
      </c>
      <c r="C15" s="38">
        <f t="shared" ref="C15:G15" si="3">((C13-C10)/C10)*100</f>
        <v>3.4326189611333087</v>
      </c>
      <c r="D15" s="38">
        <f>((D13-D10)/D10)*100</f>
        <v>22.651682670463149</v>
      </c>
      <c r="E15" s="38">
        <f t="shared" si="3"/>
        <v>67.871788434178598</v>
      </c>
      <c r="F15" s="38">
        <f t="shared" si="3"/>
        <v>2.5974025974025974</v>
      </c>
      <c r="G15" s="40">
        <f t="shared" si="3"/>
        <v>0.13519603424966201</v>
      </c>
      <c r="I15" s="39"/>
    </row>
    <row r="16" spans="1:9" ht="18.75">
      <c r="A16" s="37" t="s">
        <v>100</v>
      </c>
      <c r="B16" s="38">
        <f>((B13-B12)/B12)*100</f>
        <v>25.522273877478963</v>
      </c>
      <c r="C16" s="38">
        <f t="shared" ref="C16:G16" si="4">((C13-C12)/C12)*100</f>
        <v>14.082532051282051</v>
      </c>
      <c r="D16" s="38">
        <f>((D13-D12)/D12)*100</f>
        <v>20.958924570575054</v>
      </c>
      <c r="E16" s="38">
        <f t="shared" si="4"/>
        <v>74.032621898316847</v>
      </c>
      <c r="F16" s="38">
        <f t="shared" si="4"/>
        <v>6.5168539325842696</v>
      </c>
      <c r="G16" s="40">
        <f t="shared" si="4"/>
        <v>-0.49261083743842365</v>
      </c>
    </row>
  </sheetData>
  <mergeCells count="8">
    <mergeCell ref="A4:G4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Feuil1</vt:lpstr>
      <vt:lpstr>Feuil2</vt:lpstr>
      <vt:lpstr>Feuil4</vt:lpstr>
      <vt:lpstr>T2</vt:lpstr>
      <vt:lpstr>%</vt:lpstr>
      <vt:lpstr>Feuil5</vt:lpstr>
      <vt:lpstr>l'Aïd  2018 et 2019- régions</vt:lpstr>
      <vt:lpstr>l'Aïd  2018 et 2019-wilayas</vt:lpstr>
      <vt:lpstr>2017-2018-2019</vt:lpstr>
      <vt:lpstr>2018-2019</vt:lpstr>
      <vt:lpstr>T4</vt:lpstr>
      <vt:lpstr>Feuil3</vt:lpstr>
      <vt:lpstr>Feuil1!Impression_des_titres</vt:lpstr>
      <vt:lpstr>Feuil2!Impression_des_titres</vt:lpstr>
      <vt:lpstr>Feuil4!Impression_des_titres</vt:lpstr>
      <vt:lpstr>Feuil5!Impression_des_titres</vt:lpstr>
      <vt:lpstr>'l''Aïd  2018 et 2019- régions'!Impression_des_titres</vt:lpstr>
      <vt:lpstr>'l''Aïd  2018 et 2019-wilayas'!Impression_des_titres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b_zemam</dc:creator>
  <cp:lastModifiedBy>b_zemam</cp:lastModifiedBy>
  <cp:lastPrinted>2021-07-15T08:21:09Z</cp:lastPrinted>
  <dcterms:created xsi:type="dcterms:W3CDTF">2019-08-01T08:48:19Z</dcterms:created>
  <dcterms:modified xsi:type="dcterms:W3CDTF">2021-07-15T08:27:36Z</dcterms:modified>
</cp:coreProperties>
</file>